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undp.sharepoint.com/sites/HDROTeam-Statistics/Shared Documents/Statistics/2023 Statistical Annex/Excel tool/"/>
    </mc:Choice>
  </mc:AlternateContent>
  <xr:revisionPtr revIDLastSave="564" documentId="8_{622F57C7-5123-462A-BA5B-15ACA754714E}" xr6:coauthVersionLast="47" xr6:coauthVersionMax="47" xr10:uidLastSave="{CE3F58B2-9922-44ED-A5A3-B092C1F2D9FD}"/>
  <bookViews>
    <workbookView xWindow="28680" yWindow="-120" windowWidth="29040" windowHeight="15720" tabRatio="601" xr2:uid="{00000000-000D-0000-FFFF-FFFF00000000}"/>
  </bookViews>
  <sheets>
    <sheet name="Intro" sheetId="8" r:id="rId1"/>
    <sheet name="HDI" sheetId="2" r:id="rId2"/>
    <sheet name="IHDI" sheetId="9" r:id="rId3"/>
    <sheet name="GII" sheetId="1" r:id="rId4"/>
    <sheet name="GDI" sheetId="11" r:id="rId5"/>
    <sheet name="GDI- Estimating earned income" sheetId="14" r:id="rId6"/>
    <sheet name="PHDI" sheetId="13" r:id="rId7"/>
  </sheets>
  <definedNames>
    <definedName name="ilfeexp1998" localSheetId="4">GDI!$C$9:$C$11</definedName>
    <definedName name="ilfeexp1998" localSheetId="5">#REF!</definedName>
    <definedName name="ilfeexp1998" localSheetId="2">IHDI!$B$11:$B$15</definedName>
    <definedName name="ilfeexp1998">HDI!$B$8:$B$12</definedName>
    <definedName name="_xlnm.Print_Area" localSheetId="4">GDI!$B$10:$F$11</definedName>
    <definedName name="_xlnm.Print_Area" localSheetId="1">HDI!$A$9:$E$12</definedName>
    <definedName name="_xlnm.Print_Area" localSheetId="2">IHDI!$A$12:$S$15</definedName>
    <definedName name="_xlnm.Print_Titles" localSheetId="4">GDI!$B:$B,GDI!$3:$8</definedName>
    <definedName name="_xlnm.Print_Titles" localSheetId="1">HDI!$A:$A,HDI!$3:$7</definedName>
    <definedName name="_xlnm.Print_Titles" localSheetId="2">IHDI!$A:$A,IHDI!$3:$9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14" l="1"/>
  <c r="O8" i="1"/>
  <c r="H9" i="14"/>
  <c r="L10" i="14"/>
  <c r="K9" i="14"/>
  <c r="J11" i="14"/>
  <c r="K11" i="14" s="1"/>
  <c r="M11" i="14" s="1"/>
  <c r="J10" i="14"/>
  <c r="K10" i="14" s="1"/>
  <c r="J9" i="14"/>
  <c r="I11" i="14"/>
  <c r="H11" i="14"/>
  <c r="L11" i="14" s="1"/>
  <c r="H10" i="14"/>
  <c r="I10" i="14" s="1"/>
  <c r="M10" i="14" s="1"/>
  <c r="P10" i="13"/>
  <c r="R10" i="13" s="1"/>
  <c r="N10" i="13"/>
  <c r="K10" i="13"/>
  <c r="J10" i="13"/>
  <c r="I10" i="13"/>
  <c r="L10" i="13" s="1"/>
  <c r="K10" i="11"/>
  <c r="J11" i="11"/>
  <c r="J10" i="11"/>
  <c r="I11" i="11"/>
  <c r="I10" i="11"/>
  <c r="H11" i="11"/>
  <c r="H10" i="11"/>
  <c r="G11" i="11"/>
  <c r="G10" i="11"/>
  <c r="AB8" i="1"/>
  <c r="AA8" i="1"/>
  <c r="AD8" i="1" s="1"/>
  <c r="Y8" i="1"/>
  <c r="X8" i="1"/>
  <c r="V8" i="1"/>
  <c r="U8" i="1"/>
  <c r="S8" i="1"/>
  <c r="R8" i="1"/>
  <c r="O10" i="1"/>
  <c r="O9" i="1"/>
  <c r="S10" i="13" l="1"/>
  <c r="T10" i="13"/>
  <c r="I9" i="14"/>
  <c r="M9" i="14" s="1"/>
  <c r="T13" i="9"/>
  <c r="H10" i="2"/>
  <c r="G9" i="2"/>
  <c r="G12" i="2"/>
  <c r="R9" i="1" l="1"/>
  <c r="S9" i="1"/>
  <c r="U9" i="1"/>
  <c r="V9" i="1"/>
  <c r="R10" i="1"/>
  <c r="S10" i="1"/>
  <c r="U10" i="1"/>
  <c r="V10" i="1"/>
  <c r="Y10" i="1" l="1"/>
  <c r="AB9" i="1"/>
  <c r="X10" i="1"/>
  <c r="Y9" i="1"/>
  <c r="AB10" i="1"/>
  <c r="X9" i="1"/>
  <c r="I11" i="13"/>
  <c r="J11" i="13"/>
  <c r="K11" i="13"/>
  <c r="N11" i="13"/>
  <c r="P11" i="13"/>
  <c r="I12" i="13"/>
  <c r="J12" i="13"/>
  <c r="K12" i="13"/>
  <c r="N12" i="13"/>
  <c r="P12" i="13"/>
  <c r="I13" i="13"/>
  <c r="J13" i="13"/>
  <c r="K13" i="13"/>
  <c r="N13" i="13"/>
  <c r="P13" i="13"/>
  <c r="T12" i="9"/>
  <c r="J15" i="9"/>
  <c r="F9" i="2"/>
  <c r="K12" i="9"/>
  <c r="P12" i="9" s="1"/>
  <c r="L13" i="9"/>
  <c r="Q13" i="9" s="1"/>
  <c r="L12" i="9"/>
  <c r="Q12" i="9" s="1"/>
  <c r="R13" i="13" l="1"/>
  <c r="R11" i="13"/>
  <c r="R12" i="13"/>
  <c r="L11" i="13"/>
  <c r="AA10" i="1"/>
  <c r="AD10" i="1" s="1"/>
  <c r="AA9" i="1"/>
  <c r="AD9" i="1" s="1"/>
  <c r="O15" i="9"/>
  <c r="L12" i="13"/>
  <c r="S12" i="13" s="1"/>
  <c r="T12" i="13" s="1"/>
  <c r="L13" i="13"/>
  <c r="S13" i="13" s="1"/>
  <c r="T13" i="13" s="1"/>
  <c r="S11" i="13"/>
  <c r="T11" i="13" s="1"/>
  <c r="K13" i="9"/>
  <c r="P13" i="9" s="1"/>
  <c r="K14" i="9"/>
  <c r="K15" i="9"/>
  <c r="P15" i="9" s="1"/>
  <c r="L15" i="9"/>
  <c r="Q15" i="9" s="1"/>
  <c r="L14" i="9"/>
  <c r="Q14" i="9" s="1"/>
  <c r="J13" i="9"/>
  <c r="J14" i="9"/>
  <c r="J12" i="9"/>
  <c r="H9" i="2"/>
  <c r="I9" i="2" s="1"/>
  <c r="F11" i="2"/>
  <c r="F12" i="2"/>
  <c r="F10" i="2"/>
  <c r="G10" i="2"/>
  <c r="G11" i="2"/>
  <c r="H11" i="2"/>
  <c r="H12" i="2"/>
  <c r="T15" i="9"/>
  <c r="T14" i="9"/>
  <c r="N15" i="9" l="1"/>
  <c r="O13" i="9"/>
  <c r="R13" i="9" s="1"/>
  <c r="N13" i="9"/>
  <c r="O12" i="9"/>
  <c r="R12" i="9" s="1"/>
  <c r="S12" i="9" s="1"/>
  <c r="N12" i="9"/>
  <c r="O14" i="9"/>
  <c r="N14" i="9"/>
  <c r="I10" i="2"/>
  <c r="I11" i="2"/>
  <c r="R15" i="9"/>
  <c r="P14" i="9"/>
  <c r="I12" i="2"/>
  <c r="S13" i="9" l="1"/>
  <c r="R14" i="9"/>
  <c r="S14" i="9" s="1"/>
  <c r="S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tc={A29A75CF-4AD3-470E-8010-A9000A648DC7}</author>
  </authors>
  <commentList>
    <comment ref="B9" authorId="0" shapeId="0" xr:uid="{A29A75CF-4AD3-470E-8010-A9000A648DC7}">
      <text>
        <t>[Threaded comment]
Your version of Excel allows you to read this threaded comment; however, any edits to it will get removed if the file is opened in a newer version of Excel. Learn more: https://go.microsoft.com/fwlink/?linkid=870924
Comment:
    Enter your own data here for a real application.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tc={32564B78-ED6F-4547-B718-1EA0C725557E}</author>
    <author>tc={642A9D08-79D3-4415-B065-9923E16EB7B9}</author>
  </authors>
  <commentList>
    <comment ref="B12" authorId="0" shapeId="0" xr:uid="{32564B78-ED6F-4547-B718-1EA0C725557E}">
      <text>
        <t>[Threaded comment]
Your version of Excel allows you to read this threaded comment; however, any edits to it will get removed if the file is opened in a newer version of Excel. Learn more: https://go.microsoft.com/fwlink/?linkid=870924
Comment:
    Enter your own data here for a real application.</t>
      </text>
    </comment>
    <comment ref="F12" authorId="1" shapeId="0" xr:uid="{642A9D08-79D3-4415-B065-9923E16EB7B9}">
      <text>
        <t>[Threaded comment]
Your version of Excel allows you to read this threaded comment; however, any edits to it will get removed if the file is opened in a newer version of Excel. Learn more: https://go.microsoft.com/fwlink/?linkid=870924
Comment:
    Enter your own estimate of inequality in distributions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tc={E891280D-EE16-481A-AD76-CE541BDBE03C}</author>
  </authors>
  <commentList>
    <comment ref="F10" authorId="0" shapeId="0" xr:uid="{E891280D-EE16-481A-AD76-CE541BDBE03C}">
      <text>
        <t>[Threaded comment]
Your version of Excel allows you to read this threaded comment; however, any edits to it will get removed if the file is opened in a newer version of Excel. Learn more: https://go.microsoft.com/fwlink/?linkid=870924
Comment:
    For estimation of GNIpc by gender, see the worksheet "GDI-Estimating earned income"</t>
      </text>
    </comment>
  </commentList>
</comments>
</file>

<file path=xl/sharedStrings.xml><?xml version="1.0" encoding="utf-8"?>
<sst xmlns="http://schemas.openxmlformats.org/spreadsheetml/2006/main" count="177" uniqueCount="106">
  <si>
    <t xml:space="preserve">Introduction </t>
  </si>
  <si>
    <t xml:space="preserve">To replicate a specific step, you may copy the formula in the sample cell and adjust for the relevant cell(s) you are working on. </t>
  </si>
  <si>
    <t>Using this tool, you could also input your own data and calculate the relevant human development indices for real applications.</t>
  </si>
  <si>
    <t xml:space="preserve">Calculating the human development index (HDI) </t>
  </si>
  <si>
    <t>Data</t>
  </si>
  <si>
    <t>Life expectancy index</t>
  </si>
  <si>
    <t>Education index</t>
  </si>
  <si>
    <t>GNI  index</t>
  </si>
  <si>
    <t>Human development index (HDI) value</t>
  </si>
  <si>
    <r>
      <t xml:space="preserve">Life expectancy at birth                               </t>
    </r>
    <r>
      <rPr>
        <sz val="10"/>
        <rFont val="Arial"/>
        <family val="2"/>
      </rPr>
      <t xml:space="preserve">(years)      </t>
    </r>
  </si>
  <si>
    <t>Country A</t>
  </si>
  <si>
    <t>Country B</t>
  </si>
  <si>
    <t>Country C</t>
  </si>
  <si>
    <t>Country D</t>
  </si>
  <si>
    <t xml:space="preserve">Calculating the Inequality-adjusted Human Development Index (IHDI) </t>
  </si>
  <si>
    <t>Indicators</t>
  </si>
  <si>
    <t>Atkinson's inequality measure for distribution of:</t>
  </si>
  <si>
    <t xml:space="preserve">GNI per capita                                      </t>
  </si>
  <si>
    <t>Inequality-adjusted human development ndex (IHDI) value</t>
  </si>
  <si>
    <t>Loss due to inequality (%)</t>
  </si>
  <si>
    <t>Coefficient of human inequality</t>
  </si>
  <si>
    <t xml:space="preserve">Life expectancy at birth                              </t>
  </si>
  <si>
    <r>
      <t xml:space="preserve">Expected length of life </t>
    </r>
    <r>
      <rPr>
        <sz val="10"/>
        <rFont val="Arial"/>
        <family val="2"/>
      </rPr>
      <t xml:space="preserve">      </t>
    </r>
  </si>
  <si>
    <t xml:space="preserve">Mean years of schooling </t>
  </si>
  <si>
    <r>
      <t xml:space="preserve">Expected years of schooling        </t>
    </r>
    <r>
      <rPr>
        <sz val="10"/>
        <rFont val="Arial"/>
        <family val="2"/>
      </rPr>
      <t xml:space="preserve">   </t>
    </r>
  </si>
  <si>
    <t>years</t>
  </si>
  <si>
    <t>%</t>
  </si>
  <si>
    <t>Calculating the gender inequality index (GII)</t>
  </si>
  <si>
    <t>Dimensional indices by gender</t>
  </si>
  <si>
    <t>Indices within and across genders</t>
  </si>
  <si>
    <r>
      <rPr>
        <b/>
        <sz val="10"/>
        <rFont val="Arial"/>
        <family val="2"/>
      </rPr>
      <t>Maternal mortality ratio</t>
    </r>
    <r>
      <rPr>
        <sz val="10"/>
        <rFont val="Arial"/>
        <family val="2"/>
      </rPr>
      <t xml:space="preserve">     </t>
    </r>
    <r>
      <rPr>
        <sz val="9"/>
        <rFont val="Arial"/>
        <family val="2"/>
      </rPr>
      <t>(deaths per 100,000         live births)</t>
    </r>
  </si>
  <si>
    <t>a</t>
  </si>
  <si>
    <r>
      <rPr>
        <b/>
        <sz val="10"/>
        <rFont val="Arial"/>
        <family val="2"/>
      </rPr>
      <t xml:space="preserve">Adolescent birth rate </t>
    </r>
    <r>
      <rPr>
        <sz val="9"/>
        <rFont val="Arial"/>
        <family val="2"/>
      </rPr>
      <t>(births per 1,000 women ages 15-19)</t>
    </r>
  </si>
  <si>
    <r>
      <t xml:space="preserve">Share of seats in parliament           </t>
    </r>
    <r>
      <rPr>
        <sz val="10"/>
        <rFont val="Arial"/>
        <family val="2"/>
      </rPr>
      <t>(% held)</t>
    </r>
  </si>
  <si>
    <t>b</t>
  </si>
  <si>
    <r>
      <t xml:space="preserve">Population with at least some secondary education                     </t>
    </r>
    <r>
      <rPr>
        <sz val="10"/>
        <rFont val="Arial"/>
        <family val="2"/>
      </rPr>
      <t>(% ages 25 and older)</t>
    </r>
  </si>
  <si>
    <r>
      <t xml:space="preserve">Labour force participation rate            </t>
    </r>
    <r>
      <rPr>
        <sz val="10"/>
        <rFont val="Arial"/>
        <family val="2"/>
      </rPr>
      <t xml:space="preserve"> (% ages 15 and older)</t>
    </r>
  </si>
  <si>
    <t>Empowerment index</t>
  </si>
  <si>
    <t>Gender indices</t>
  </si>
  <si>
    <t xml:space="preserve"> Accounting for inequality</t>
  </si>
  <si>
    <t>Treating genders equally</t>
  </si>
  <si>
    <t>Female</t>
  </si>
  <si>
    <t>Male</t>
  </si>
  <si>
    <t xml:space="preserve">Female </t>
  </si>
  <si>
    <t>a - Maternal mortality ratio less than 10 is coded as 10 and when greater than 1000 it is coded as 1000.</t>
  </si>
  <si>
    <t xml:space="preserve">b - If the share of parlament seats is equal to 0 it is coded as 0.1%. If the share of parlament seats is equal to 100 it is coded as 99.9%. </t>
  </si>
  <si>
    <t xml:space="preserve">Calculating the gender development index (GDI) </t>
  </si>
  <si>
    <t>GDI</t>
  </si>
  <si>
    <t>Estimating female and male GNI per capita PPP$</t>
  </si>
  <si>
    <t>Estimation</t>
  </si>
  <si>
    <t>Y</t>
  </si>
  <si>
    <r>
      <t>N</t>
    </r>
    <r>
      <rPr>
        <b/>
        <vertAlign val="subscript"/>
        <sz val="12"/>
        <rFont val="Arial"/>
        <family val="2"/>
      </rPr>
      <t>f</t>
    </r>
  </si>
  <si>
    <r>
      <t>N</t>
    </r>
    <r>
      <rPr>
        <b/>
        <vertAlign val="subscript"/>
        <sz val="12"/>
        <rFont val="Arial"/>
        <family val="2"/>
      </rPr>
      <t>m</t>
    </r>
  </si>
  <si>
    <r>
      <t>w</t>
    </r>
    <r>
      <rPr>
        <b/>
        <vertAlign val="subscript"/>
        <sz val="12"/>
        <rFont val="Arial"/>
        <family val="2"/>
      </rPr>
      <t>f</t>
    </r>
    <r>
      <rPr>
        <b/>
        <sz val="12"/>
        <rFont val="Arial"/>
        <family val="2"/>
      </rPr>
      <t>/w</t>
    </r>
    <r>
      <rPr>
        <b/>
        <vertAlign val="subscript"/>
        <sz val="12"/>
        <rFont val="Arial"/>
        <family val="2"/>
      </rPr>
      <t>m</t>
    </r>
  </si>
  <si>
    <r>
      <t>ea</t>
    </r>
    <r>
      <rPr>
        <b/>
        <vertAlign val="subscript"/>
        <sz val="12"/>
        <rFont val="Arial"/>
        <family val="2"/>
      </rPr>
      <t>f</t>
    </r>
  </si>
  <si>
    <r>
      <t>ea</t>
    </r>
    <r>
      <rPr>
        <b/>
        <vertAlign val="subscript"/>
        <sz val="12"/>
        <rFont val="Arial"/>
        <family val="2"/>
      </rPr>
      <t>m</t>
    </r>
  </si>
  <si>
    <r>
      <t>s</t>
    </r>
    <r>
      <rPr>
        <b/>
        <vertAlign val="subscript"/>
        <sz val="12"/>
        <rFont val="Arial"/>
        <family val="2"/>
      </rPr>
      <t>f</t>
    </r>
  </si>
  <si>
    <r>
      <t>y</t>
    </r>
    <r>
      <rPr>
        <b/>
        <vertAlign val="subscript"/>
        <sz val="12"/>
        <rFont val="Arial"/>
        <family val="2"/>
      </rPr>
      <t>f</t>
    </r>
  </si>
  <si>
    <r>
      <t>y</t>
    </r>
    <r>
      <rPr>
        <b/>
        <vertAlign val="subscript"/>
        <sz val="12"/>
        <rFont val="Arial"/>
        <family val="2"/>
      </rPr>
      <t>m</t>
    </r>
  </si>
  <si>
    <r>
      <t xml:space="preserve">Total population
</t>
    </r>
    <r>
      <rPr>
        <sz val="10"/>
        <rFont val="Arial"/>
        <family val="2"/>
      </rPr>
      <t>(thousands)</t>
    </r>
  </si>
  <si>
    <t>Ratio of female to male wage</t>
  </si>
  <si>
    <t xml:space="preserve">Share of the economically active population </t>
  </si>
  <si>
    <t>Female share of wage bill</t>
  </si>
  <si>
    <r>
      <t>Estimated GNI per capita</t>
    </r>
    <r>
      <rPr>
        <sz val="9"/>
        <rFont val="Arial"/>
        <family val="2"/>
      </rPr>
      <t xml:space="preserve"> (2017 PPP $)</t>
    </r>
  </si>
  <si>
    <t>Male Share of wage bill</t>
  </si>
  <si>
    <r>
      <t>s</t>
    </r>
    <r>
      <rPr>
        <b/>
        <vertAlign val="subscript"/>
        <sz val="12"/>
        <rFont val="Arial"/>
        <family val="2"/>
      </rPr>
      <t>m</t>
    </r>
  </si>
  <si>
    <r>
      <t>P</t>
    </r>
    <r>
      <rPr>
        <vertAlign val="subscript"/>
        <sz val="11"/>
        <rFont val="Arial"/>
        <family val="2"/>
      </rPr>
      <t>f</t>
    </r>
  </si>
  <si>
    <r>
      <t>P</t>
    </r>
    <r>
      <rPr>
        <vertAlign val="subscript"/>
        <sz val="11"/>
        <rFont val="Arial"/>
        <family val="2"/>
      </rPr>
      <t>m</t>
    </r>
  </si>
  <si>
    <t>Male share of
the population</t>
  </si>
  <si>
    <t>Female share of
the population</t>
  </si>
  <si>
    <t>Calculating Planetary pressures–adjusted Human Development Index</t>
  </si>
  <si>
    <t>Carbon dioxide emissions per capita
(production)</t>
  </si>
  <si>
    <t>tonnes</t>
  </si>
  <si>
    <t>Difference in HDI value (%)</t>
  </si>
  <si>
    <t>Material footprint index</t>
  </si>
  <si>
    <t>Material footprint per capita</t>
  </si>
  <si>
    <t xml:space="preserve"> Mean years of schooling  </t>
  </si>
  <si>
    <t>GNI index</t>
  </si>
  <si>
    <t xml:space="preserve">Each worksheet contains a set of sample data and calculations for a specific index, with built-in EXCEL formula.  </t>
  </si>
  <si>
    <t>HDI component indices</t>
  </si>
  <si>
    <t>Inequality adjusted HDI component indices</t>
  </si>
  <si>
    <t>Reproductive health index</t>
  </si>
  <si>
    <t>Labour market index</t>
  </si>
  <si>
    <r>
      <t>In the case of the Multidimensional Poverty Index (MPI) which is calculated using micro survey data, the STATA do files are available at</t>
    </r>
    <r>
      <rPr>
        <sz val="12"/>
        <color rgb="FFFF0000"/>
        <rFont val="Arial"/>
        <family val="2"/>
      </rPr>
      <t xml:space="preserve"> https://hdr.undp.org/mpi-statistical-programmes</t>
    </r>
    <r>
      <rPr>
        <sz val="12"/>
        <rFont val="Arial"/>
        <family val="2"/>
      </rPr>
      <t xml:space="preserve">. </t>
    </r>
  </si>
  <si>
    <r>
      <t xml:space="preserve">For more detailed explanations of the calculation steps of composite human development indices, please refer to </t>
    </r>
    <r>
      <rPr>
        <b/>
        <i/>
        <sz val="12"/>
        <rFont val="Arial"/>
        <family val="2"/>
      </rPr>
      <t>Technical notes: Calculating the human development indices</t>
    </r>
    <r>
      <rPr>
        <i/>
        <sz val="12"/>
        <rFont val="Arial"/>
        <family val="2"/>
      </rPr>
      <t xml:space="preserve"> </t>
    </r>
    <r>
      <rPr>
        <sz val="12"/>
        <rFont val="Arial"/>
        <family val="2"/>
      </rPr>
      <t>which can be downloaded at</t>
    </r>
    <r>
      <rPr>
        <sz val="12"/>
        <color rgb="FFFF0000"/>
        <rFont val="Arial"/>
        <family val="2"/>
      </rPr>
      <t xml:space="preserve"> https://hdr.undp.org/data-center</t>
    </r>
    <r>
      <rPr>
        <sz val="12"/>
        <rFont val="Arial"/>
        <family val="2"/>
      </rPr>
      <t>.</t>
    </r>
  </si>
  <si>
    <r>
      <t>"Calculating the Indices using EXCEL"</t>
    </r>
    <r>
      <rPr>
        <sz val="12"/>
        <rFont val="Arial"/>
        <family val="2"/>
      </rPr>
      <t xml:space="preserve"> is a tool showing how the composite human development indices - the human development index (HDI), the inequality-adjusted HDI (IHDI), the gender inequality index (GII), the gender development index (GDI) and the planetary-pressures adjusted HDI (PHDI), can be calculated using EXCEL, based on the current methodologies described in the technical notes on C</t>
    </r>
    <r>
      <rPr>
        <b/>
        <sz val="12"/>
        <rFont val="Arial"/>
        <family val="2"/>
      </rPr>
      <t>alculating the human development indices</t>
    </r>
    <r>
      <rPr>
        <sz val="12"/>
        <rFont val="Arial"/>
        <family val="2"/>
      </rPr>
      <t xml:space="preserve"> (downloadable from the HDR website </t>
    </r>
    <r>
      <rPr>
        <sz val="12"/>
        <color rgb="FFFF0000"/>
        <rFont val="Arial"/>
        <family val="2"/>
      </rPr>
      <t>https://hdr.undp.org/data-center</t>
    </r>
    <r>
      <rPr>
        <sz val="12"/>
        <rFont val="Arial"/>
        <family val="2"/>
      </rPr>
      <t>).</t>
    </r>
  </si>
  <si>
    <t>Calculations</t>
  </si>
  <si>
    <t>Gender inequality index (GII) value</t>
  </si>
  <si>
    <t>Gender development index (GDI) value</t>
  </si>
  <si>
    <t>Planetary pressures–adjusted HDI (PHDI) value</t>
  </si>
  <si>
    <r>
      <t xml:space="preserve">Expected years of schooling </t>
    </r>
    <r>
      <rPr>
        <sz val="10"/>
        <rFont val="Arial"/>
        <family val="2"/>
      </rPr>
      <t>(years)</t>
    </r>
  </si>
  <si>
    <t>Mean years of schooling</t>
  </si>
  <si>
    <r>
      <t xml:space="preserve">Mean years of schooling </t>
    </r>
    <r>
      <rPr>
        <sz val="10"/>
        <rFont val="Arial"/>
        <family val="2"/>
      </rPr>
      <t>(years)</t>
    </r>
  </si>
  <si>
    <r>
      <t xml:space="preserve">Gross national income (GNI) per capita </t>
    </r>
    <r>
      <rPr>
        <sz val="10"/>
        <rFont val="Arial"/>
        <family val="2"/>
      </rPr>
      <t>(2017 PPP $)</t>
    </r>
  </si>
  <si>
    <t>GNI per capita</t>
  </si>
  <si>
    <t>Income</t>
  </si>
  <si>
    <t>2017 PPP $</t>
  </si>
  <si>
    <r>
      <t xml:space="preserve">GNI per capita                                      </t>
    </r>
    <r>
      <rPr>
        <sz val="10"/>
        <rFont val="Arial"/>
        <family val="2"/>
      </rPr>
      <t xml:space="preserve">(2017 PPP $ ) </t>
    </r>
  </si>
  <si>
    <t>Adjustment factor for planetary pressures</t>
  </si>
  <si>
    <t>Carbon dioxide emissions index</t>
  </si>
  <si>
    <t>a - Carbon dioxide emissions index is calculated using a minimum value of 0 and a maximum value of 76.61 tonnes per capita.</t>
  </si>
  <si>
    <t>b - Material footprint index is calculated using a minimum value of 0 and a maximum value of 140.82 tonnes per capita.</t>
  </si>
  <si>
    <r>
      <t xml:space="preserve"> Mean years of schooling                               </t>
    </r>
    <r>
      <rPr>
        <sz val="10"/>
        <rFont val="Arial"/>
        <family val="2"/>
      </rPr>
      <t>(years)</t>
    </r>
    <r>
      <rPr>
        <b/>
        <sz val="10"/>
        <rFont val="Arial"/>
        <family val="2"/>
      </rPr>
      <t xml:space="preserve"> </t>
    </r>
  </si>
  <si>
    <t>c</t>
  </si>
  <si>
    <t xml:space="preserve">c - Reproductive health indicators used in the GII do not have equivalent indicators for males. In this dimension, the reproductive health of girls and women is compared to assumed norms of no maternal death, and no adolescent pregnancy. </t>
  </si>
  <si>
    <r>
      <t xml:space="preserve">GNI per capita                      </t>
    </r>
    <r>
      <rPr>
        <sz val="9"/>
        <rFont val="Arial"/>
        <family val="2"/>
      </rPr>
      <t>(2017 PPP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</si>
</sst>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00"/>
    <numFmt numFmtId="165" formatCode="0.000"/>
    <numFmt numFmtId="166" formatCode="0.0"/>
    <numFmt numFmtId="167" formatCode="#,##0.0"/>
    <numFmt numFmtId="168" formatCode="_-* #,##0\ _F_-;\-* #,##0\ _F_-;_-* &quot;-&quot;\ _F_-;_-@_-"/>
    <numFmt numFmtId="169" formatCode="_-* #,##0.00\ _F_-;\-* #,##0.00\ _F_-;_-* &quot;-&quot;??\ _F_-;_-@_-"/>
    <numFmt numFmtId="170" formatCode="_-* #,##0\ &quot;F&quot;_-;\-* #,##0\ &quot;F&quot;_-;_-* &quot;-&quot;\ &quot;F&quot;_-;_-@_-"/>
    <numFmt numFmtId="171" formatCode="_-* #,##0.00\ &quot;F&quot;_-;\-* #,##0.00\ &quot;F&quot;_-;_-* &quot;-&quot;??\ &quot;F&quot;_-;_-@_-"/>
    <numFmt numFmtId="172" formatCode="[$$-409]#,##0"/>
  </numFmts>
  <fonts count="37" x14ac:knownFonts="1">
    <font>
      <sz val="10"/>
      <name val="Arial"/>
    </font>
    <font>
      <sz val="10"/>
      <name val="Arial"/>
      <family val="2"/>
    </font>
    <font>
      <b/>
      <sz val="10"/>
      <name val="Arial"/>
      <family val="2"/>
    </font>
    <font>
      <b/>
      <sz val="10"/>
      <color indexed="8"/>
      <name val="Arial"/>
      <family val="2"/>
    </font>
    <font>
      <sz val="10"/>
      <name val="Arial"/>
      <family val="2"/>
    </font>
    <font>
      <sz val="10"/>
      <color indexed="8"/>
      <name val="Arial"/>
      <family val="2"/>
    </font>
    <font>
      <sz val="10"/>
      <name val="MS Sans Serif"/>
      <family val="2"/>
    </font>
    <font>
      <sz val="12"/>
      <name val="Arial"/>
      <family val="2"/>
    </font>
    <font>
      <b/>
      <sz val="12"/>
      <name val="Arial"/>
      <family val="2"/>
    </font>
    <font>
      <sz val="9"/>
      <name val="Times"/>
    </font>
    <font>
      <sz val="9"/>
      <name val="Arial"/>
      <family val="2"/>
    </font>
    <font>
      <vertAlign val="superscript"/>
      <sz val="10"/>
      <name val="Arial"/>
      <family val="2"/>
    </font>
    <font>
      <b/>
      <vertAlign val="superscript"/>
      <sz val="10"/>
      <name val="Arial"/>
      <family val="2"/>
    </font>
    <font>
      <b/>
      <sz val="16"/>
      <name val="Arial"/>
      <family val="2"/>
    </font>
    <font>
      <sz val="16"/>
      <name val="Arial"/>
      <family val="2"/>
    </font>
    <font>
      <b/>
      <sz val="20"/>
      <name val="Arial"/>
      <family val="2"/>
    </font>
    <font>
      <sz val="20"/>
      <name val="Arial"/>
      <family val="2"/>
    </font>
    <font>
      <b/>
      <sz val="18"/>
      <name val="Arial"/>
      <family val="2"/>
    </font>
    <font>
      <b/>
      <sz val="16"/>
      <color indexed="8"/>
      <name val="Arial"/>
      <family val="2"/>
    </font>
    <font>
      <sz val="18"/>
      <name val="Arial"/>
      <family val="2"/>
    </font>
    <font>
      <i/>
      <sz val="12"/>
      <name val="Arial"/>
      <family val="2"/>
    </font>
    <font>
      <b/>
      <sz val="9"/>
      <name val="Arial"/>
      <family val="2"/>
    </font>
    <font>
      <b/>
      <vertAlign val="subscript"/>
      <sz val="12"/>
      <name val="Arial"/>
      <family val="2"/>
    </font>
    <font>
      <sz val="10"/>
      <name val="MS Sans Serif"/>
      <family val="2"/>
    </font>
    <font>
      <sz val="10"/>
      <name val="Arial"/>
      <family val="2"/>
    </font>
    <font>
      <sz val="11"/>
      <name val="Arial"/>
      <family val="2"/>
    </font>
    <font>
      <vertAlign val="subscript"/>
      <sz val="11"/>
      <name val="Arial"/>
      <family val="2"/>
    </font>
    <font>
      <sz val="10"/>
      <name val="Arial"/>
      <family val="2"/>
    </font>
    <font>
      <sz val="10"/>
      <color theme="1"/>
      <name val="Arial"/>
      <family val="2"/>
    </font>
    <font>
      <sz val="11"/>
      <name val="Arial"/>
      <family val="2"/>
    </font>
    <font>
      <sz val="10"/>
      <color rgb="FFFF0000"/>
      <name val="Arial"/>
      <family val="2"/>
    </font>
    <font>
      <sz val="12"/>
      <color rgb="FFFF0000"/>
      <name val="Arial"/>
      <family val="2"/>
    </font>
    <font>
      <b/>
      <i/>
      <sz val="12"/>
      <name val="Arial"/>
      <family val="2"/>
    </font>
    <font>
      <sz val="10"/>
      <color rgb="FF7030A0"/>
      <name val="Arial"/>
      <family val="2"/>
    </font>
    <font>
      <sz val="10"/>
      <color rgb="FF0070C0"/>
      <name val="Arial"/>
      <family val="2"/>
    </font>
    <font>
      <b/>
      <sz val="8"/>
      <name val="Arial"/>
      <family val="2"/>
    </font>
    <font>
      <b/>
      <sz val="7"/>
      <color theme="1"/>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24" fillId="0" borderId="0" applyFont="0" applyFill="0" applyBorder="0" applyAlignment="0" applyProtection="0"/>
    <xf numFmtId="167" fontId="9" fillId="0" borderId="0" applyFont="0" applyFill="0" applyBorder="0">
      <alignment horizontal="right" vertical="top"/>
    </xf>
    <xf numFmtId="168"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23" fillId="0" borderId="0"/>
    <xf numFmtId="0" fontId="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cellStyleXfs>
  <cellXfs count="279">
    <xf numFmtId="0" fontId="0" fillId="0" borderId="0" xfId="0"/>
    <xf numFmtId="0" fontId="2" fillId="0" borderId="0" xfId="0" applyFont="1"/>
    <xf numFmtId="0" fontId="3" fillId="2" borderId="0" xfId="0" applyFont="1" applyFill="1"/>
    <xf numFmtId="0" fontId="0" fillId="0" borderId="0" xfId="0" applyAlignment="1">
      <alignment wrapText="1"/>
    </xf>
    <xf numFmtId="0" fontId="0" fillId="2" borderId="0" xfId="0" applyFill="1"/>
    <xf numFmtId="0" fontId="7" fillId="0" borderId="0" xfId="8" applyFont="1"/>
    <xf numFmtId="0" fontId="7" fillId="0" borderId="0" xfId="8" applyFont="1" applyAlignment="1">
      <alignment horizontal="center"/>
    </xf>
    <xf numFmtId="0" fontId="2" fillId="2" borderId="0" xfId="0" applyFont="1" applyFill="1"/>
    <xf numFmtId="0" fontId="14" fillId="0" borderId="0" xfId="0" applyFont="1"/>
    <xf numFmtId="0" fontId="14" fillId="0" borderId="0" xfId="8" applyFont="1"/>
    <xf numFmtId="0" fontId="4" fillId="2" borderId="0" xfId="0" applyFont="1" applyFill="1" applyAlignment="1">
      <alignment horizontal="center" vertical="top"/>
    </xf>
    <xf numFmtId="166" fontId="4" fillId="2" borderId="0" xfId="0" applyNumberFormat="1" applyFont="1" applyFill="1" applyAlignment="1">
      <alignment horizontal="center" vertical="top"/>
    </xf>
    <xf numFmtId="0" fontId="15" fillId="0" borderId="0" xfId="8" applyFont="1"/>
    <xf numFmtId="0" fontId="16" fillId="0" borderId="0" xfId="8" applyFont="1"/>
    <xf numFmtId="0" fontId="16" fillId="0" borderId="0" xfId="8" applyFont="1" applyAlignment="1">
      <alignment horizontal="center"/>
    </xf>
    <xf numFmtId="0" fontId="13" fillId="2" borderId="0" xfId="8" applyFont="1" applyFill="1"/>
    <xf numFmtId="0" fontId="14" fillId="2" borderId="0" xfId="8" applyFont="1" applyFill="1"/>
    <xf numFmtId="0" fontId="14" fillId="2" borderId="0" xfId="8" applyFont="1" applyFill="1" applyAlignment="1">
      <alignment horizontal="center"/>
    </xf>
    <xf numFmtId="0" fontId="17" fillId="0" borderId="0" xfId="0" applyFont="1" applyAlignment="1">
      <alignment horizontal="left"/>
    </xf>
    <xf numFmtId="0" fontId="13" fillId="2" borderId="0" xfId="0" applyFont="1" applyFill="1"/>
    <xf numFmtId="0" fontId="18" fillId="2" borderId="0" xfId="0" applyFont="1" applyFill="1"/>
    <xf numFmtId="0" fontId="19" fillId="0" borderId="0" xfId="0" applyFont="1"/>
    <xf numFmtId="0" fontId="0" fillId="0" borderId="0" xfId="0" applyAlignment="1">
      <alignment horizontal="right" wrapText="1"/>
    </xf>
    <xf numFmtId="0" fontId="0" fillId="2" borderId="0" xfId="0" applyFill="1" applyAlignment="1">
      <alignment horizontal="right" wrapText="1"/>
    </xf>
    <xf numFmtId="0" fontId="0" fillId="0" borderId="0" xfId="0" applyAlignment="1">
      <alignment horizontal="center" wrapText="1"/>
    </xf>
    <xf numFmtId="0" fontId="0" fillId="2" borderId="0" xfId="0" applyFill="1" applyAlignment="1">
      <alignment wrapText="1"/>
    </xf>
    <xf numFmtId="0" fontId="4" fillId="2" borderId="0" xfId="8" applyFont="1" applyFill="1" applyAlignment="1">
      <alignment horizontal="right"/>
    </xf>
    <xf numFmtId="0" fontId="0" fillId="2" borderId="0" xfId="0" applyFill="1" applyAlignment="1">
      <alignment horizontal="right"/>
    </xf>
    <xf numFmtId="0" fontId="4" fillId="2" borderId="0" xfId="8" applyFont="1" applyFill="1"/>
    <xf numFmtId="0" fontId="4" fillId="2" borderId="0" xfId="8" applyFont="1" applyFill="1" applyAlignment="1">
      <alignment horizontal="center"/>
    </xf>
    <xf numFmtId="0" fontId="2" fillId="2" borderId="0" xfId="8" applyFont="1" applyFill="1" applyAlignment="1">
      <alignment horizontal="center" wrapText="1"/>
    </xf>
    <xf numFmtId="0" fontId="4" fillId="0" borderId="0" xfId="8" applyFont="1"/>
    <xf numFmtId="166" fontId="4" fillId="2" borderId="0" xfId="8" applyNumberFormat="1" applyFont="1" applyFill="1" applyAlignment="1">
      <alignment horizontal="center"/>
    </xf>
    <xf numFmtId="165" fontId="4" fillId="2" borderId="0" xfId="8" applyNumberFormat="1" applyFont="1" applyFill="1" applyAlignment="1">
      <alignment horizontal="center"/>
    </xf>
    <xf numFmtId="164" fontId="4" fillId="2" borderId="0" xfId="8" applyNumberFormat="1" applyFont="1" applyFill="1" applyAlignment="1">
      <alignment horizontal="center"/>
    </xf>
    <xf numFmtId="3" fontId="4" fillId="2" borderId="0" xfId="0" applyNumberFormat="1" applyFont="1" applyFill="1" applyAlignment="1">
      <alignment horizontal="right" vertical="top"/>
    </xf>
    <xf numFmtId="0" fontId="4" fillId="0" borderId="0" xfId="8" applyFont="1" applyAlignment="1">
      <alignment horizontal="right"/>
    </xf>
    <xf numFmtId="0" fontId="0" fillId="2" borderId="0" xfId="0" applyFill="1" applyAlignment="1">
      <alignment horizontal="center" wrapText="1"/>
    </xf>
    <xf numFmtId="165" fontId="5" fillId="0" borderId="0" xfId="0" applyNumberFormat="1" applyFont="1" applyAlignment="1">
      <alignment horizontal="center"/>
    </xf>
    <xf numFmtId="165" fontId="4" fillId="0" borderId="0" xfId="8" applyNumberFormat="1" applyFont="1" applyAlignment="1">
      <alignment horizontal="center"/>
    </xf>
    <xf numFmtId="0" fontId="2" fillId="2" borderId="2" xfId="8" applyFont="1" applyFill="1" applyBorder="1" applyAlignment="1">
      <alignment horizontal="center" wrapText="1"/>
    </xf>
    <xf numFmtId="166" fontId="4" fillId="2" borderId="2" xfId="8" applyNumberFormat="1" applyFont="1" applyFill="1" applyBorder="1" applyAlignment="1">
      <alignment horizontal="center"/>
    </xf>
    <xf numFmtId="0" fontId="4" fillId="2" borderId="3" xfId="8" applyFont="1" applyFill="1" applyBorder="1" applyAlignment="1">
      <alignment horizontal="center" wrapText="1"/>
    </xf>
    <xf numFmtId="0" fontId="4" fillId="3" borderId="4" xfId="8" applyFont="1" applyFill="1" applyBorder="1" applyAlignment="1">
      <alignment horizontal="center" wrapText="1"/>
    </xf>
    <xf numFmtId="0" fontId="4" fillId="3" borderId="3" xfId="0" applyFont="1" applyFill="1" applyBorder="1" applyAlignment="1">
      <alignment horizontal="center" wrapText="1"/>
    </xf>
    <xf numFmtId="167" fontId="4" fillId="2" borderId="2" xfId="0" applyNumberFormat="1" applyFont="1" applyFill="1" applyBorder="1" applyAlignment="1">
      <alignment horizontal="right" vertical="top"/>
    </xf>
    <xf numFmtId="167" fontId="4" fillId="2" borderId="0" xfId="0" applyNumberFormat="1" applyFont="1" applyFill="1" applyAlignment="1">
      <alignment horizontal="right" vertical="top"/>
    </xf>
    <xf numFmtId="0" fontId="2" fillId="0" borderId="0" xfId="8" applyFont="1" applyAlignment="1">
      <alignment horizontal="center" wrapText="1"/>
    </xf>
    <xf numFmtId="0" fontId="4" fillId="0" borderId="3" xfId="8" applyFont="1" applyBorder="1" applyAlignment="1">
      <alignment horizontal="center" wrapText="1"/>
    </xf>
    <xf numFmtId="0" fontId="0" fillId="0" borderId="0" xfId="0" applyAlignment="1">
      <alignment horizontal="center"/>
    </xf>
    <xf numFmtId="0" fontId="4" fillId="0" borderId="5" xfId="0" applyFont="1" applyBorder="1" applyAlignment="1">
      <alignment horizontal="center" wrapText="1"/>
    </xf>
    <xf numFmtId="166" fontId="4" fillId="0" borderId="0" xfId="8" applyNumberFormat="1" applyFont="1" applyAlignment="1">
      <alignment horizontal="center"/>
    </xf>
    <xf numFmtId="3" fontId="4" fillId="0" borderId="0" xfId="0" applyNumberFormat="1" applyFont="1" applyAlignment="1">
      <alignment horizontal="right" vertical="top"/>
    </xf>
    <xf numFmtId="0" fontId="14" fillId="4" borderId="0" xfId="8" applyFont="1" applyFill="1" applyAlignment="1">
      <alignment horizontal="center"/>
    </xf>
    <xf numFmtId="0" fontId="4" fillId="4" borderId="2" xfId="8" applyFont="1" applyFill="1" applyBorder="1" applyAlignment="1">
      <alignment horizontal="center"/>
    </xf>
    <xf numFmtId="0" fontId="4" fillId="4" borderId="0" xfId="8" applyFont="1" applyFill="1" applyAlignment="1">
      <alignment horizontal="center"/>
    </xf>
    <xf numFmtId="0" fontId="4" fillId="4" borderId="4" xfId="8" applyFont="1" applyFill="1" applyBorder="1" applyAlignment="1">
      <alignment horizontal="center" wrapText="1"/>
    </xf>
    <xf numFmtId="0" fontId="4" fillId="4" borderId="3" xfId="8" applyFont="1" applyFill="1" applyBorder="1" applyAlignment="1">
      <alignment horizontal="center" wrapText="1"/>
    </xf>
    <xf numFmtId="165" fontId="4" fillId="4" borderId="2" xfId="8" applyNumberFormat="1" applyFont="1" applyFill="1" applyBorder="1" applyAlignment="1">
      <alignment horizontal="center"/>
    </xf>
    <xf numFmtId="165" fontId="4" fillId="4" borderId="0" xfId="8" applyNumberFormat="1" applyFont="1" applyFill="1" applyAlignment="1">
      <alignment horizontal="center"/>
    </xf>
    <xf numFmtId="0" fontId="4" fillId="4" borderId="0" xfId="8" applyFont="1" applyFill="1"/>
    <xf numFmtId="166" fontId="4" fillId="4" borderId="0" xfId="8" applyNumberFormat="1" applyFont="1" applyFill="1" applyAlignment="1">
      <alignment horizontal="center"/>
    </xf>
    <xf numFmtId="0" fontId="4" fillId="0" borderId="0" xfId="0" applyFont="1"/>
    <xf numFmtId="0" fontId="0" fillId="3" borderId="0" xfId="0" applyFill="1"/>
    <xf numFmtId="0" fontId="18" fillId="0" borderId="0" xfId="0" applyFont="1"/>
    <xf numFmtId="0" fontId="2" fillId="0" borderId="0" xfId="0" applyFont="1" applyAlignment="1">
      <alignment horizontal="center" wrapText="1"/>
    </xf>
    <xf numFmtId="0" fontId="2" fillId="0" borderId="5" xfId="0" applyFont="1" applyBorder="1" applyAlignment="1">
      <alignment horizontal="center" wrapText="1"/>
    </xf>
    <xf numFmtId="0" fontId="18" fillId="0" borderId="2" xfId="0" applyFont="1" applyBorder="1"/>
    <xf numFmtId="0" fontId="2" fillId="0" borderId="2" xfId="0" applyFont="1" applyBorder="1"/>
    <xf numFmtId="0" fontId="0" fillId="0" borderId="2" xfId="0" applyBorder="1"/>
    <xf numFmtId="0" fontId="2" fillId="0" borderId="2" xfId="0" applyFont="1" applyBorder="1" applyAlignment="1">
      <alignment horizontal="center" wrapText="1"/>
    </xf>
    <xf numFmtId="0" fontId="0" fillId="0" borderId="2" xfId="0" applyBorder="1" applyAlignment="1">
      <alignment horizontal="right" wrapText="1"/>
    </xf>
    <xf numFmtId="1" fontId="4" fillId="0" borderId="2" xfId="0" applyNumberFormat="1" applyFont="1" applyBorder="1"/>
    <xf numFmtId="1" fontId="0" fillId="0" borderId="2" xfId="0" applyNumberFormat="1" applyBorder="1"/>
    <xf numFmtId="0" fontId="21" fillId="2" borderId="3" xfId="0" applyFont="1" applyFill="1" applyBorder="1"/>
    <xf numFmtId="0" fontId="8" fillId="0" borderId="3" xfId="0" applyFont="1" applyBorder="1"/>
    <xf numFmtId="0" fontId="10" fillId="2" borderId="0" xfId="0" applyFont="1" applyFill="1"/>
    <xf numFmtId="1" fontId="10" fillId="2" borderId="0" xfId="0" applyNumberFormat="1" applyFont="1" applyFill="1"/>
    <xf numFmtId="2" fontId="10" fillId="2" borderId="0" xfId="0" applyNumberFormat="1" applyFont="1" applyFill="1"/>
    <xf numFmtId="0" fontId="10" fillId="0" borderId="0" xfId="0" applyFont="1"/>
    <xf numFmtId="0" fontId="21" fillId="2" borderId="0" xfId="0" applyFont="1" applyFill="1" applyAlignment="1">
      <alignment horizontal="center" wrapText="1"/>
    </xf>
    <xf numFmtId="2" fontId="21" fillId="2" borderId="0" xfId="0" applyNumberFormat="1" applyFont="1" applyFill="1" applyAlignment="1">
      <alignment horizontal="center" wrapText="1"/>
    </xf>
    <xf numFmtId="0" fontId="10" fillId="0" borderId="0" xfId="0" applyFont="1" applyAlignment="1">
      <alignment horizontal="center" wrapText="1"/>
    </xf>
    <xf numFmtId="0" fontId="10" fillId="2" borderId="5" xfId="0" applyFont="1" applyFill="1" applyBorder="1" applyAlignment="1">
      <alignment horizontal="center" wrapText="1"/>
    </xf>
    <xf numFmtId="1" fontId="10" fillId="2" borderId="5" xfId="0" applyNumberFormat="1" applyFont="1" applyFill="1" applyBorder="1" applyAlignment="1">
      <alignment horizontal="center" wrapText="1"/>
    </xf>
    <xf numFmtId="2" fontId="10" fillId="2" borderId="5" xfId="0" applyNumberFormat="1" applyFont="1" applyFill="1" applyBorder="1" applyAlignment="1">
      <alignment horizontal="center" wrapText="1"/>
    </xf>
    <xf numFmtId="0" fontId="10" fillId="0" borderId="5" xfId="0" applyFont="1" applyBorder="1" applyAlignment="1">
      <alignment horizontal="center" wrapText="1"/>
    </xf>
    <xf numFmtId="0" fontId="4" fillId="2" borderId="0" xfId="7" applyFont="1" applyFill="1" applyAlignment="1">
      <alignment horizontal="right"/>
    </xf>
    <xf numFmtId="0" fontId="10" fillId="0" borderId="0" xfId="0" applyFont="1" applyAlignment="1">
      <alignment horizontal="right"/>
    </xf>
    <xf numFmtId="1" fontId="10" fillId="0" borderId="0" xfId="0" applyNumberFormat="1" applyFont="1"/>
    <xf numFmtId="2" fontId="10" fillId="0" borderId="0" xfId="0" applyNumberFormat="1" applyFont="1"/>
    <xf numFmtId="3" fontId="10" fillId="0" borderId="0" xfId="0" applyNumberFormat="1" applyFont="1"/>
    <xf numFmtId="172" fontId="10" fillId="0" borderId="0" xfId="0" applyNumberFormat="1" applyFont="1"/>
    <xf numFmtId="0" fontId="2" fillId="2" borderId="5" xfId="8" applyFont="1" applyFill="1" applyBorder="1" applyAlignment="1">
      <alignment horizontal="center" wrapText="1"/>
    </xf>
    <xf numFmtId="0" fontId="4" fillId="4" borderId="3" xfId="8" applyFont="1" applyFill="1" applyBorder="1"/>
    <xf numFmtId="0" fontId="0" fillId="2" borderId="0" xfId="0" applyFill="1" applyAlignment="1">
      <alignment horizontal="center"/>
    </xf>
    <xf numFmtId="166" fontId="4" fillId="2" borderId="0" xfId="0" applyNumberFormat="1" applyFont="1" applyFill="1" applyAlignment="1">
      <alignment horizontal="center"/>
    </xf>
    <xf numFmtId="1" fontId="4" fillId="2" borderId="0" xfId="0" applyNumberFormat="1" applyFont="1" applyFill="1" applyAlignment="1">
      <alignment horizontal="center"/>
    </xf>
    <xf numFmtId="166" fontId="0" fillId="2" borderId="0" xfId="0" applyNumberFormat="1" applyFill="1" applyAlignment="1">
      <alignment horizontal="center"/>
    </xf>
    <xf numFmtId="1" fontId="0" fillId="2" borderId="0" xfId="0" applyNumberFormat="1" applyFill="1" applyAlignment="1">
      <alignment horizontal="center"/>
    </xf>
    <xf numFmtId="1" fontId="8" fillId="2" borderId="3" xfId="0" applyNumberFormat="1" applyFont="1" applyFill="1" applyBorder="1" applyAlignment="1">
      <alignment horizontal="center"/>
    </xf>
    <xf numFmtId="2" fontId="8" fillId="2" borderId="3" xfId="0" applyNumberFormat="1" applyFont="1" applyFill="1" applyBorder="1" applyAlignment="1">
      <alignment horizontal="center"/>
    </xf>
    <xf numFmtId="0" fontId="8" fillId="2" borderId="3" xfId="0" applyFont="1" applyFill="1" applyBorder="1" applyAlignment="1">
      <alignment horizontal="center"/>
    </xf>
    <xf numFmtId="3" fontId="10" fillId="2" borderId="0" xfId="0" applyNumberFormat="1" applyFont="1" applyFill="1" applyAlignment="1">
      <alignment horizontal="center"/>
    </xf>
    <xf numFmtId="3" fontId="10" fillId="2" borderId="0" xfId="1" applyNumberFormat="1" applyFont="1" applyFill="1" applyAlignment="1">
      <alignment horizontal="center"/>
    </xf>
    <xf numFmtId="0" fontId="0" fillId="4" borderId="0" xfId="0" applyFill="1"/>
    <xf numFmtId="166" fontId="4" fillId="3" borderId="0" xfId="0" applyNumberFormat="1" applyFont="1" applyFill="1" applyAlignment="1">
      <alignment horizontal="center" vertical="top"/>
    </xf>
    <xf numFmtId="0" fontId="4" fillId="3" borderId="0" xfId="0" applyFont="1" applyFill="1" applyAlignment="1">
      <alignment horizontal="center" vertical="top"/>
    </xf>
    <xf numFmtId="0" fontId="0" fillId="3" borderId="2" xfId="0" applyFill="1" applyBorder="1"/>
    <xf numFmtId="0" fontId="4" fillId="2" borderId="0" xfId="8" applyFont="1" applyFill="1" applyAlignment="1">
      <alignment wrapText="1"/>
    </xf>
    <xf numFmtId="0" fontId="4" fillId="2" borderId="0" xfId="8" applyFont="1" applyFill="1" applyAlignment="1">
      <alignment horizontal="center" wrapText="1"/>
    </xf>
    <xf numFmtId="0" fontId="1" fillId="3" borderId="4" xfId="0" applyFont="1" applyFill="1" applyBorder="1" applyAlignment="1">
      <alignment horizontal="center" wrapText="1"/>
    </xf>
    <xf numFmtId="0" fontId="1" fillId="3" borderId="3" xfId="0" applyFont="1" applyFill="1" applyBorder="1" applyAlignment="1">
      <alignment horizontal="center" wrapText="1"/>
    </xf>
    <xf numFmtId="3" fontId="4" fillId="3" borderId="0" xfId="0" applyNumberFormat="1" applyFont="1" applyFill="1" applyAlignment="1">
      <alignment horizontal="center" vertical="top"/>
    </xf>
    <xf numFmtId="3" fontId="4" fillId="2" borderId="0" xfId="0" applyNumberFormat="1" applyFont="1" applyFill="1" applyAlignment="1">
      <alignment horizontal="center" vertical="top"/>
    </xf>
    <xf numFmtId="0" fontId="1" fillId="0" borderId="3" xfId="0" applyFont="1" applyBorder="1" applyAlignment="1">
      <alignment horizontal="center" wrapText="1"/>
    </xf>
    <xf numFmtId="0" fontId="2" fillId="4" borderId="4" xfId="8" applyFont="1" applyFill="1" applyBorder="1" applyAlignment="1">
      <alignment wrapText="1"/>
    </xf>
    <xf numFmtId="0" fontId="2" fillId="4" borderId="3" xfId="8" applyFont="1" applyFill="1" applyBorder="1" applyAlignment="1">
      <alignment wrapText="1"/>
    </xf>
    <xf numFmtId="0" fontId="0" fillId="4" borderId="3" xfId="0" applyFill="1" applyBorder="1"/>
    <xf numFmtId="0" fontId="8" fillId="4" borderId="5" xfId="0" applyFont="1" applyFill="1" applyBorder="1" applyAlignment="1">
      <alignment horizontal="center"/>
    </xf>
    <xf numFmtId="0" fontId="25" fillId="4" borderId="5" xfId="0" applyFont="1" applyFill="1" applyBorder="1" applyAlignment="1">
      <alignment horizontal="center"/>
    </xf>
    <xf numFmtId="0" fontId="8" fillId="4" borderId="3" xfId="0" applyFont="1" applyFill="1" applyBorder="1" applyAlignment="1">
      <alignment horizontal="center"/>
    </xf>
    <xf numFmtId="0" fontId="10" fillId="4" borderId="0" xfId="0" applyFont="1" applyFill="1"/>
    <xf numFmtId="0" fontId="21" fillId="4" borderId="0" xfId="0" applyFont="1" applyFill="1" applyAlignment="1">
      <alignment horizontal="center" wrapText="1"/>
    </xf>
    <xf numFmtId="0" fontId="10" fillId="4" borderId="5" xfId="0" applyFont="1" applyFill="1" applyBorder="1" applyAlignment="1">
      <alignment horizontal="center" wrapText="1"/>
    </xf>
    <xf numFmtId="165" fontId="10" fillId="4" borderId="0" xfId="0" applyNumberFormat="1" applyFont="1" applyFill="1" applyAlignment="1">
      <alignment horizontal="center"/>
    </xf>
    <xf numFmtId="3" fontId="10" fillId="4" borderId="0" xfId="0" applyNumberFormat="1" applyFont="1" applyFill="1" applyAlignment="1">
      <alignment horizontal="center"/>
    </xf>
    <xf numFmtId="0" fontId="13" fillId="4" borderId="2" xfId="8" applyFont="1" applyFill="1" applyBorder="1" applyAlignment="1">
      <alignment horizontal="center"/>
    </xf>
    <xf numFmtId="0" fontId="18" fillId="4" borderId="0" xfId="0" applyFont="1" applyFill="1"/>
    <xf numFmtId="0" fontId="2" fillId="4" borderId="0" xfId="0" applyFont="1" applyFill="1"/>
    <xf numFmtId="0" fontId="4" fillId="4" borderId="0" xfId="0" applyFont="1" applyFill="1" applyAlignment="1">
      <alignment horizontal="center" wrapText="1"/>
    </xf>
    <xf numFmtId="0" fontId="0" fillId="4" borderId="0" xfId="0" applyFill="1" applyAlignment="1">
      <alignment horizontal="center" wrapText="1"/>
    </xf>
    <xf numFmtId="0" fontId="4" fillId="0" borderId="5" xfId="8" applyFont="1" applyBorder="1"/>
    <xf numFmtId="0" fontId="4" fillId="0" borderId="5" xfId="8" applyFont="1" applyBorder="1" applyAlignment="1">
      <alignment vertical="top"/>
    </xf>
    <xf numFmtId="0" fontId="13" fillId="2" borderId="0" xfId="8" applyFont="1" applyFill="1" applyAlignment="1">
      <alignment wrapText="1"/>
    </xf>
    <xf numFmtId="0" fontId="13" fillId="4" borderId="2" xfId="0" applyFont="1" applyFill="1" applyBorder="1"/>
    <xf numFmtId="0" fontId="18" fillId="4" borderId="2" xfId="0" applyFont="1" applyFill="1" applyBorder="1"/>
    <xf numFmtId="0" fontId="4" fillId="4" borderId="2" xfId="0" applyFont="1" applyFill="1" applyBorder="1" applyAlignment="1">
      <alignment wrapText="1"/>
    </xf>
    <xf numFmtId="0" fontId="0" fillId="3" borderId="0" xfId="0" applyFill="1" applyAlignment="1">
      <alignment horizontal="center"/>
    </xf>
    <xf numFmtId="0" fontId="4" fillId="0" borderId="0" xfId="8" applyFont="1" applyAlignment="1">
      <alignment horizontal="center"/>
    </xf>
    <xf numFmtId="0" fontId="4" fillId="4" borderId="9" xfId="8" applyFont="1" applyFill="1" applyBorder="1" applyAlignment="1">
      <alignment horizontal="center"/>
    </xf>
    <xf numFmtId="0" fontId="4" fillId="4" borderId="11" xfId="8" applyFont="1" applyFill="1" applyBorder="1" applyAlignment="1">
      <alignment horizontal="center" wrapText="1"/>
    </xf>
    <xf numFmtId="165" fontId="4" fillId="4" borderId="9" xfId="8" applyNumberFormat="1" applyFont="1" applyFill="1" applyBorder="1" applyAlignment="1">
      <alignment horizontal="center"/>
    </xf>
    <xf numFmtId="0" fontId="4" fillId="5" borderId="0" xfId="8" applyFont="1" applyFill="1" applyAlignment="1">
      <alignment horizontal="center"/>
    </xf>
    <xf numFmtId="0" fontId="4" fillId="5" borderId="0" xfId="8" applyFont="1" applyFill="1"/>
    <xf numFmtId="0" fontId="4" fillId="5" borderId="4" xfId="8" applyFont="1" applyFill="1" applyBorder="1" applyAlignment="1">
      <alignment horizontal="center" wrapText="1"/>
    </xf>
    <xf numFmtId="0" fontId="4" fillId="5" borderId="3" xfId="8" applyFont="1" applyFill="1" applyBorder="1" applyAlignment="1">
      <alignment horizontal="center" wrapText="1"/>
    </xf>
    <xf numFmtId="165" fontId="4" fillId="5" borderId="2" xfId="8" applyNumberFormat="1" applyFont="1" applyFill="1" applyBorder="1" applyAlignment="1">
      <alignment horizontal="center"/>
    </xf>
    <xf numFmtId="165" fontId="4" fillId="5" borderId="0" xfId="8" applyNumberFormat="1" applyFont="1" applyFill="1" applyAlignment="1">
      <alignment horizontal="center"/>
    </xf>
    <xf numFmtId="0" fontId="0" fillId="0" borderId="0" xfId="9" applyNumberFormat="1" applyFont="1" applyFill="1" applyBorder="1" applyAlignment="1"/>
    <xf numFmtId="164" fontId="29" fillId="0" borderId="0" xfId="9" applyNumberFormat="1" applyFont="1" applyFill="1" applyBorder="1" applyAlignment="1">
      <alignment horizontal="center"/>
    </xf>
    <xf numFmtId="0" fontId="0" fillId="0" borderId="0" xfId="11" applyNumberFormat="1" applyFont="1" applyFill="1" applyBorder="1" applyAlignment="1"/>
    <xf numFmtId="0" fontId="0" fillId="0" borderId="0" xfId="12" applyNumberFormat="1" applyFont="1" applyFill="1" applyBorder="1" applyAlignment="1"/>
    <xf numFmtId="0" fontId="30" fillId="0" borderId="0" xfId="0" applyFont="1"/>
    <xf numFmtId="165" fontId="1" fillId="4" borderId="0" xfId="0" applyNumberFormat="1" applyFont="1" applyFill="1" applyAlignment="1">
      <alignment horizontal="center"/>
    </xf>
    <xf numFmtId="165" fontId="1" fillId="4" borderId="0" xfId="8" applyNumberFormat="1" applyFont="1" applyFill="1" applyAlignment="1">
      <alignment horizontal="center"/>
    </xf>
    <xf numFmtId="165" fontId="1" fillId="4" borderId="2" xfId="8" applyNumberFormat="1" applyFont="1" applyFill="1" applyBorder="1" applyAlignment="1">
      <alignment horizontal="center"/>
    </xf>
    <xf numFmtId="165" fontId="28" fillId="4" borderId="0" xfId="0" applyNumberFormat="1" applyFont="1" applyFill="1" applyAlignment="1">
      <alignment horizontal="center"/>
    </xf>
    <xf numFmtId="1" fontId="28" fillId="4" borderId="0" xfId="0" applyNumberFormat="1" applyFont="1" applyFill="1" applyAlignment="1">
      <alignment horizontal="center"/>
    </xf>
    <xf numFmtId="165" fontId="28" fillId="4" borderId="2" xfId="0" applyNumberFormat="1" applyFont="1" applyFill="1" applyBorder="1" applyAlignment="1">
      <alignment horizontal="center"/>
    </xf>
    <xf numFmtId="166" fontId="4" fillId="6" borderId="0" xfId="0" applyNumberFormat="1" applyFont="1" applyFill="1" applyAlignment="1">
      <alignment horizontal="center" vertical="top"/>
    </xf>
    <xf numFmtId="0" fontId="4" fillId="6" borderId="0" xfId="0" applyFont="1" applyFill="1" applyAlignment="1">
      <alignment horizontal="center" vertical="top"/>
    </xf>
    <xf numFmtId="3" fontId="4" fillId="6" borderId="0" xfId="0" applyNumberFormat="1" applyFont="1" applyFill="1" applyAlignment="1">
      <alignment horizontal="right" vertical="top"/>
    </xf>
    <xf numFmtId="167" fontId="4" fillId="6" borderId="2" xfId="0" applyNumberFormat="1" applyFont="1" applyFill="1" applyBorder="1" applyAlignment="1">
      <alignment horizontal="right" vertical="top"/>
    </xf>
    <xf numFmtId="167" fontId="4" fillId="6" borderId="0" xfId="0" applyNumberFormat="1" applyFont="1" applyFill="1" applyAlignment="1">
      <alignment horizontal="right" vertical="top"/>
    </xf>
    <xf numFmtId="0" fontId="2" fillId="2" borderId="0" xfId="8" applyFont="1" applyFill="1" applyAlignment="1">
      <alignment horizontal="center"/>
    </xf>
    <xf numFmtId="3" fontId="4" fillId="6" borderId="0" xfId="0" applyNumberFormat="1" applyFont="1" applyFill="1" applyAlignment="1">
      <alignment horizontal="center" vertical="top"/>
    </xf>
    <xf numFmtId="0" fontId="13" fillId="2" borderId="5" xfId="0" applyFont="1" applyFill="1" applyBorder="1" applyAlignment="1">
      <alignment vertical="center"/>
    </xf>
    <xf numFmtId="1" fontId="14" fillId="2" borderId="5" xfId="0" applyNumberFormat="1" applyFont="1" applyFill="1" applyBorder="1" applyAlignment="1">
      <alignment vertical="center"/>
    </xf>
    <xf numFmtId="2" fontId="14" fillId="2" borderId="5" xfId="0" applyNumberFormat="1" applyFont="1" applyFill="1" applyBorder="1" applyAlignment="1">
      <alignment vertical="center"/>
    </xf>
    <xf numFmtId="0" fontId="14" fillId="2" borderId="5" xfId="0" applyFont="1" applyFill="1" applyBorder="1" applyAlignment="1">
      <alignment vertical="center"/>
    </xf>
    <xf numFmtId="0" fontId="13" fillId="4" borderId="1" xfId="0" applyFont="1" applyFill="1" applyBorder="1" applyAlignment="1">
      <alignment vertical="center"/>
    </xf>
    <xf numFmtId="0" fontId="14" fillId="4" borderId="1" xfId="0" applyFont="1" applyFill="1" applyBorder="1" applyAlignment="1">
      <alignment vertical="center"/>
    </xf>
    <xf numFmtId="0" fontId="14" fillId="0" borderId="5" xfId="0" applyFont="1" applyBorder="1" applyAlignment="1">
      <alignment vertical="center"/>
    </xf>
    <xf numFmtId="0" fontId="10" fillId="2" borderId="0" xfId="0" applyFont="1" applyFill="1" applyAlignment="1">
      <alignment horizontal="center" wrapText="1"/>
    </xf>
    <xf numFmtId="1" fontId="10" fillId="2" borderId="0" xfId="0" applyNumberFormat="1" applyFont="1" applyFill="1" applyAlignment="1">
      <alignment horizontal="center" wrapText="1"/>
    </xf>
    <xf numFmtId="2" fontId="10" fillId="2" borderId="0" xfId="0" applyNumberFormat="1" applyFont="1" applyFill="1" applyAlignment="1">
      <alignment horizontal="center" wrapText="1"/>
    </xf>
    <xf numFmtId="0" fontId="10" fillId="4" borderId="0" xfId="0" applyFont="1" applyFill="1" applyAlignment="1">
      <alignment horizontal="center" wrapText="1"/>
    </xf>
    <xf numFmtId="0" fontId="2" fillId="0" borderId="0" xfId="8" applyFont="1" applyAlignment="1">
      <alignment horizontal="center" vertical="center" wrapText="1"/>
    </xf>
    <xf numFmtId="0" fontId="2" fillId="0" borderId="5" xfId="8" applyFont="1" applyBorder="1" applyAlignment="1">
      <alignment horizontal="center" vertical="center" wrapText="1"/>
    </xf>
    <xf numFmtId="0" fontId="2" fillId="2" borderId="0" xfId="8" applyFont="1" applyFill="1" applyAlignment="1">
      <alignment horizontal="center" vertical="center" wrapText="1"/>
    </xf>
    <xf numFmtId="0" fontId="1" fillId="2" borderId="3" xfId="8" applyFont="1" applyFill="1" applyBorder="1" applyAlignment="1">
      <alignment horizontal="center" wrapText="1"/>
    </xf>
    <xf numFmtId="0" fontId="4"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2" borderId="0" xfId="0" applyFont="1" applyFill="1" applyAlignment="1">
      <alignment vertical="center" wrapText="1"/>
    </xf>
    <xf numFmtId="0" fontId="12"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4" borderId="5" xfId="0" applyFont="1" applyFill="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4" fillId="4" borderId="8" xfId="0" applyFont="1" applyFill="1" applyBorder="1" applyAlignment="1">
      <alignment horizontal="center" wrapText="1"/>
    </xf>
    <xf numFmtId="0" fontId="0" fillId="4" borderId="6" xfId="0" applyFill="1" applyBorder="1" applyAlignment="1">
      <alignment horizontal="center" wrapText="1"/>
    </xf>
    <xf numFmtId="0" fontId="4" fillId="4" borderId="0" xfId="0" applyFont="1" applyFill="1" applyAlignment="1">
      <alignment wrapText="1"/>
    </xf>
    <xf numFmtId="0" fontId="33" fillId="2" borderId="0" xfId="8" applyFont="1" applyFill="1" applyAlignment="1">
      <alignment horizontal="right"/>
    </xf>
    <xf numFmtId="0" fontId="34" fillId="2" borderId="0" xfId="8" applyFont="1" applyFill="1" applyAlignment="1">
      <alignment horizontal="right"/>
    </xf>
    <xf numFmtId="0" fontId="34" fillId="2" borderId="0" xfId="0" applyFont="1" applyFill="1" applyAlignment="1">
      <alignment horizontal="center"/>
    </xf>
    <xf numFmtId="166" fontId="34" fillId="2" borderId="0" xfId="0" applyNumberFormat="1" applyFont="1" applyFill="1" applyAlignment="1">
      <alignment horizontal="center"/>
    </xf>
    <xf numFmtId="3" fontId="34" fillId="2" borderId="0" xfId="0" applyNumberFormat="1" applyFont="1" applyFill="1" applyAlignment="1">
      <alignment horizontal="right"/>
    </xf>
    <xf numFmtId="165" fontId="34" fillId="4" borderId="2" xfId="8" applyNumberFormat="1" applyFont="1" applyFill="1" applyBorder="1" applyAlignment="1">
      <alignment horizontal="center"/>
    </xf>
    <xf numFmtId="165" fontId="34" fillId="4" borderId="0" xfId="8" applyNumberFormat="1" applyFont="1" applyFill="1" applyAlignment="1">
      <alignment horizontal="center"/>
    </xf>
    <xf numFmtId="166" fontId="33" fillId="2" borderId="0" xfId="0" applyNumberFormat="1" applyFont="1" applyFill="1" applyAlignment="1">
      <alignment horizontal="center"/>
    </xf>
    <xf numFmtId="3" fontId="33" fillId="2" borderId="0" xfId="0" applyNumberFormat="1" applyFont="1" applyFill="1" applyAlignment="1">
      <alignment horizontal="right"/>
    </xf>
    <xf numFmtId="165" fontId="33" fillId="4" borderId="2" xfId="8" applyNumberFormat="1" applyFont="1" applyFill="1" applyBorder="1" applyAlignment="1">
      <alignment horizontal="center"/>
    </xf>
    <xf numFmtId="165" fontId="33" fillId="4" borderId="0" xfId="8" applyNumberFormat="1" applyFont="1" applyFill="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2" fontId="1" fillId="4" borderId="2" xfId="0" applyNumberFormat="1" applyFont="1" applyFill="1" applyBorder="1" applyAlignment="1">
      <alignment horizontal="center"/>
    </xf>
    <xf numFmtId="0" fontId="13" fillId="4" borderId="0" xfId="0" applyFont="1" applyFill="1"/>
    <xf numFmtId="0" fontId="1" fillId="0" borderId="0" xfId="0" applyFont="1" applyAlignment="1">
      <alignment horizontal="left"/>
    </xf>
    <xf numFmtId="0" fontId="13" fillId="4" borderId="0" xfId="8" applyFont="1" applyFill="1" applyAlignment="1">
      <alignment horizontal="left"/>
    </xf>
    <xf numFmtId="0" fontId="13" fillId="4" borderId="0" xfId="8" applyFont="1" applyFill="1"/>
    <xf numFmtId="0" fontId="14" fillId="4" borderId="0" xfId="8" applyFont="1" applyFill="1"/>
    <xf numFmtId="166" fontId="0" fillId="3" borderId="2" xfId="0" applyNumberFormat="1" applyFill="1" applyBorder="1" applyAlignment="1">
      <alignment horizontal="center"/>
    </xf>
    <xf numFmtId="165" fontId="10" fillId="2" borderId="0" xfId="0" applyNumberFormat="1" applyFont="1" applyFill="1" applyAlignment="1">
      <alignment horizontal="center"/>
    </xf>
    <xf numFmtId="1" fontId="36" fillId="4" borderId="0" xfId="0" applyNumberFormat="1" applyFont="1" applyFill="1" applyAlignment="1">
      <alignment horizontal="center" vertical="top"/>
    </xf>
    <xf numFmtId="0" fontId="1" fillId="0" borderId="0" xfId="0" applyFont="1"/>
    <xf numFmtId="0" fontId="7" fillId="0" borderId="0" xfId="0" applyFont="1" applyAlignment="1">
      <alignment horizontal="left" vertical="center" wrapText="1"/>
    </xf>
    <xf numFmtId="0" fontId="13" fillId="0" borderId="0" xfId="0" applyFont="1" applyAlignment="1">
      <alignment horizontal="center"/>
    </xf>
    <xf numFmtId="0" fontId="0" fillId="0" borderId="0" xfId="0" applyAlignment="1">
      <alignment horizontal="center"/>
    </xf>
    <xf numFmtId="0" fontId="8" fillId="0" borderId="0" xfId="0" applyFont="1" applyAlignment="1">
      <alignment horizontal="left" vertical="center" wrapText="1"/>
    </xf>
    <xf numFmtId="0" fontId="2" fillId="4" borderId="0" xfId="8" applyFont="1" applyFill="1" applyAlignment="1">
      <alignment horizontal="center" vertical="center" wrapText="1"/>
    </xf>
    <xf numFmtId="0" fontId="2" fillId="4" borderId="5" xfId="8" applyFont="1" applyFill="1" applyBorder="1" applyAlignment="1">
      <alignment horizontal="center" vertical="center" wrapText="1"/>
    </xf>
    <xf numFmtId="0" fontId="2" fillId="2" borderId="0" xfId="8" applyFont="1" applyFill="1" applyAlignment="1">
      <alignment horizontal="center" vertical="center" wrapText="1"/>
    </xf>
    <xf numFmtId="0" fontId="2" fillId="2" borderId="5" xfId="8" applyFont="1" applyFill="1" applyBorder="1" applyAlignment="1">
      <alignment horizontal="center" vertical="center" wrapText="1"/>
    </xf>
    <xf numFmtId="0" fontId="2" fillId="4" borderId="2" xfId="8" applyFont="1" applyFill="1" applyBorder="1" applyAlignment="1">
      <alignment horizontal="center" vertical="center" wrapText="1"/>
    </xf>
    <xf numFmtId="0" fontId="2" fillId="4" borderId="7" xfId="8" applyFont="1" applyFill="1" applyBorder="1" applyAlignment="1">
      <alignment horizontal="center" vertical="center" wrapText="1"/>
    </xf>
    <xf numFmtId="0" fontId="2" fillId="4" borderId="9" xfId="8" applyFont="1" applyFill="1" applyBorder="1" applyAlignment="1">
      <alignment horizontal="center" vertical="center" wrapText="1"/>
    </xf>
    <xf numFmtId="0" fontId="2" fillId="4" borderId="10" xfId="8" applyFont="1" applyFill="1" applyBorder="1" applyAlignment="1">
      <alignment horizontal="center" vertical="center" wrapText="1"/>
    </xf>
    <xf numFmtId="0" fontId="8" fillId="4" borderId="2" xfId="8" applyFont="1" applyFill="1" applyBorder="1" applyAlignment="1">
      <alignment horizontal="center" vertical="center" wrapText="1"/>
    </xf>
    <xf numFmtId="0" fontId="8" fillId="4" borderId="0" xfId="8" applyFont="1" applyFill="1" applyAlignment="1">
      <alignment horizontal="center" vertical="center" wrapText="1"/>
    </xf>
    <xf numFmtId="0" fontId="8" fillId="4" borderId="9" xfId="8" applyFont="1" applyFill="1" applyBorder="1" applyAlignment="1">
      <alignment horizontal="center" vertical="center" wrapText="1"/>
    </xf>
    <xf numFmtId="0" fontId="2" fillId="4" borderId="0" xfId="8" applyFont="1" applyFill="1" applyAlignment="1">
      <alignment vertical="center" wrapText="1"/>
    </xf>
    <xf numFmtId="0" fontId="0" fillId="4" borderId="0" xfId="0" applyFill="1" applyAlignment="1">
      <alignment vertical="center"/>
    </xf>
    <xf numFmtId="0" fontId="8" fillId="5" borderId="2" xfId="8" applyFont="1" applyFill="1" applyBorder="1" applyAlignment="1">
      <alignment horizontal="center" vertical="center" wrapText="1"/>
    </xf>
    <xf numFmtId="0" fontId="8" fillId="5" borderId="0" xfId="8" applyFont="1" applyFill="1" applyAlignment="1">
      <alignment horizontal="center" vertical="center" wrapText="1"/>
    </xf>
    <xf numFmtId="0" fontId="2" fillId="5" borderId="0" xfId="8" applyFont="1" applyFill="1" applyAlignment="1">
      <alignment horizontal="center" vertical="center" wrapText="1"/>
    </xf>
    <xf numFmtId="0" fontId="2" fillId="5" borderId="5" xfId="8" applyFont="1" applyFill="1" applyBorder="1" applyAlignment="1">
      <alignment horizontal="center" vertical="center" wrapText="1"/>
    </xf>
    <xf numFmtId="0" fontId="2" fillId="2" borderId="2" xfId="8" applyFont="1" applyFill="1" applyBorder="1" applyAlignment="1">
      <alignment horizontal="center" vertical="center" wrapText="1"/>
    </xf>
    <xf numFmtId="0" fontId="2" fillId="2" borderId="7" xfId="8"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 fillId="2" borderId="2" xfId="8" applyFont="1" applyFill="1" applyBorder="1" applyAlignment="1">
      <alignment horizontal="center" wrapText="1"/>
    </xf>
    <xf numFmtId="0" fontId="2" fillId="0" borderId="0" xfId="0" applyFont="1" applyAlignment="1">
      <alignment horizontal="center" wrapText="1"/>
    </xf>
    <xf numFmtId="0" fontId="2" fillId="0" borderId="2" xfId="0" applyFont="1" applyBorder="1" applyAlignment="1">
      <alignment horizontal="center" wrapText="1"/>
    </xf>
    <xf numFmtId="0" fontId="2" fillId="5" borderId="2" xfId="8" applyFont="1" applyFill="1" applyBorder="1" applyAlignment="1">
      <alignment horizontal="center" vertical="center" wrapText="1"/>
    </xf>
    <xf numFmtId="0" fontId="2" fillId="5" borderId="7" xfId="8" applyFont="1" applyFill="1" applyBorder="1" applyAlignment="1">
      <alignment horizontal="center" vertical="center" wrapText="1"/>
    </xf>
    <xf numFmtId="0" fontId="2" fillId="4" borderId="0" xfId="0" applyFont="1" applyFill="1" applyAlignment="1">
      <alignment horizontal="center"/>
    </xf>
    <xf numFmtId="0" fontId="2" fillId="4" borderId="2" xfId="0" applyFont="1" applyFill="1" applyBorder="1" applyAlignment="1">
      <alignment horizontal="center"/>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5" fontId="4" fillId="4" borderId="0" xfId="8" applyNumberFormat="1" applyFont="1" applyFill="1" applyAlignment="1">
      <alignment horizontal="center" vertical="center"/>
    </xf>
    <xf numFmtId="0" fontId="2" fillId="2" borderId="9" xfId="8" applyFont="1" applyFill="1" applyBorder="1" applyAlignment="1">
      <alignment horizontal="center" vertical="center" wrapText="1"/>
    </xf>
    <xf numFmtId="0" fontId="2" fillId="2" borderId="10" xfId="8" applyFont="1" applyFill="1" applyBorder="1" applyAlignment="1">
      <alignment horizontal="center" vertical="center" wrapText="1"/>
    </xf>
    <xf numFmtId="0" fontId="2" fillId="2" borderId="1" xfId="0" applyFont="1" applyFill="1" applyBorder="1" applyAlignment="1">
      <alignment horizontal="center" wrapText="1"/>
    </xf>
    <xf numFmtId="0" fontId="2" fillId="0" borderId="1" xfId="0" applyFont="1" applyBorder="1" applyAlignment="1">
      <alignment horizontal="center"/>
    </xf>
    <xf numFmtId="0" fontId="21" fillId="2" borderId="1" xfId="0" applyFont="1" applyFill="1" applyBorder="1" applyAlignment="1">
      <alignment horizontal="center" wrapText="1"/>
    </xf>
    <xf numFmtId="0" fontId="21" fillId="4" borderId="1" xfId="0" applyFont="1" applyFill="1" applyBorder="1" applyAlignment="1">
      <alignment horizontal="center" wrapText="1"/>
    </xf>
    <xf numFmtId="0" fontId="2" fillId="3" borderId="0" xfId="0" applyFont="1" applyFill="1" applyAlignment="1">
      <alignment horizontal="center" vertical="center" wrapText="1"/>
    </xf>
    <xf numFmtId="0" fontId="2" fillId="3"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5" fillId="4" borderId="0" xfId="8" applyFont="1" applyFill="1" applyAlignment="1">
      <alignment horizontal="center" vertical="center" wrapText="1"/>
    </xf>
    <xf numFmtId="0" fontId="35" fillId="4" borderId="5" xfId="8"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2" borderId="0" xfId="8" applyFont="1" applyFill="1" applyAlignment="1">
      <alignment horizontal="center" vertical="top" wrapText="1"/>
    </xf>
    <xf numFmtId="0" fontId="2" fillId="2" borderId="5" xfId="8" applyFont="1" applyFill="1" applyBorder="1" applyAlignment="1">
      <alignment horizontal="center" vertical="top"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3" fillId="2" borderId="0" xfId="0" applyFont="1" applyFill="1" applyAlignment="1">
      <alignment vertical="center"/>
    </xf>
    <xf numFmtId="0" fontId="18" fillId="4" borderId="0" xfId="0" applyFont="1" applyFill="1" applyAlignment="1">
      <alignment vertical="center"/>
    </xf>
    <xf numFmtId="0" fontId="13" fillId="2" borderId="0" xfId="8" applyFont="1" applyFill="1" applyAlignment="1">
      <alignment horizontal="left" vertical="center"/>
    </xf>
    <xf numFmtId="0" fontId="0" fillId="0" borderId="0" xfId="0" applyAlignment="1">
      <alignment horizontal="left" vertical="center"/>
    </xf>
    <xf numFmtId="0" fontId="13" fillId="4" borderId="0" xfId="8" applyFont="1" applyFill="1" applyAlignment="1">
      <alignment horizontal="left" vertical="center"/>
    </xf>
    <xf numFmtId="0" fontId="13" fillId="2" borderId="0" xfId="8" applyFont="1" applyFill="1" applyAlignment="1">
      <alignment vertical="center"/>
    </xf>
    <xf numFmtId="0" fontId="13" fillId="4" borderId="2" xfId="8" applyFont="1" applyFill="1" applyBorder="1" applyAlignment="1">
      <alignment horizontal="center" vertical="center"/>
    </xf>
  </cellXfs>
  <cellStyles count="13">
    <cellStyle name="Comma 2" xfId="1" xr:uid="{00000000-0005-0000-0000-000000000000}"/>
    <cellStyle name="comma(1)" xfId="2" xr:uid="{00000000-0005-0000-0000-000001000000}"/>
    <cellStyle name="Milliers [0]_pnud-test1.xls Graphique 1" xfId="3" xr:uid="{00000000-0005-0000-0000-000002000000}"/>
    <cellStyle name="Milliers_pnud-test1.xls Graphique 1" xfId="4" xr:uid="{00000000-0005-0000-0000-000003000000}"/>
    <cellStyle name="Monétaire [0]_pnud-test1.xls Graphique 1" xfId="5" xr:uid="{00000000-0005-0000-0000-000004000000}"/>
    <cellStyle name="Monétaire_pnud-test1.xls Graphique 1" xfId="6" xr:uid="{00000000-0005-0000-0000-000005000000}"/>
    <cellStyle name="Normal" xfId="0" builtinId="0"/>
    <cellStyle name="Normal 2" xfId="9" xr:uid="{19F0B5EE-B678-4B34-A766-7C5A8033C6E9}"/>
    <cellStyle name="Normal 3" xfId="10" xr:uid="{B45DAB7D-3558-4C49-B1CD-2100F90B399F}"/>
    <cellStyle name="Normal 4" xfId="11" xr:uid="{66E8E96D-0AA6-4FFE-9EB0-88EA1C679B12}"/>
    <cellStyle name="Normal 5" xfId="12" xr:uid="{821F681D-F321-42B9-932B-6F38969EBBBC}"/>
    <cellStyle name="Normal_HPI-2 screenshot" xfId="7" xr:uid="{00000000-0005-0000-0000-000007000000}"/>
    <cellStyle name="Normal_Screenshot doc"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Yanchun Zhang" id="{7AE51902-D005-47DD-A4BD-2335ACF8D75C}" userId="S::yanchun.zhang@undp.org::c31b7ac5-d543-47f8-8664-7ac8e79c2c5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9" dT="2024-03-07T21:46:35.21" personId="{7AE51902-D005-47DD-A4BD-2335ACF8D75C}" id="{A29A75CF-4AD3-470E-8010-A9000A648DC7}">
    <text>Enter your own data here for a real application.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B12" dT="2024-03-07T21:58:31.81" personId="{7AE51902-D005-47DD-A4BD-2335ACF8D75C}" id="{32564B78-ED6F-4547-B718-1EA0C725557E}">
    <text>Enter your own data here for a real application.</text>
  </threadedComment>
  <threadedComment ref="F12" dT="2024-03-07T21:52:37.52" personId="{7AE51902-D005-47DD-A4BD-2335ACF8D75C}" id="{642A9D08-79D3-4415-B065-9923E16EB7B9}">
    <text>Enter your own estimate of inequality in distributions</text>
  </threadedComment>
</ThreadedComments>
</file>

<file path=xl/threadedComments/threadedComment3.xml><?xml version="1.0" encoding="utf-8"?>
<ThreadedComments xmlns="http://schemas.microsoft.com/office/spreadsheetml/2018/threadedcomments" xmlns:x="http://schemas.openxmlformats.org/spreadsheetml/2006/main">
  <threadedComment ref="F10" dT="2024-03-08T15:55:06.03" personId="{7AE51902-D005-47DD-A4BD-2335ACF8D75C}" id="{E891280D-EE16-481A-AD76-CE541BDBE03C}">
    <text>For estimation of GNIpc by gender, see the worksheet "GDI-Estimating earned income"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1"/>
  <sheetViews>
    <sheetView tabSelected="1" zoomScale="90" zoomScaleNormal="90" workbookViewId="0">
      <selection activeCell="B1" sqref="B1:C1"/>
    </sheetView>
  </sheetViews>
  <sheetFormatPr defaultRowHeight="12.75" x14ac:dyDescent="0.2"/>
  <cols>
    <col min="3" max="3" width="139.140625" customWidth="1"/>
  </cols>
  <sheetData>
    <row r="1" spans="2:3" ht="16.5" customHeight="1" x14ac:dyDescent="0.3">
      <c r="B1" s="218" t="s">
        <v>0</v>
      </c>
      <c r="C1" s="218"/>
    </row>
    <row r="2" spans="2:3" ht="16.5" customHeight="1" x14ac:dyDescent="0.2">
      <c r="B2" s="219"/>
      <c r="C2" s="219"/>
    </row>
    <row r="3" spans="2:3" ht="21" customHeight="1" x14ac:dyDescent="0.2">
      <c r="B3" s="220" t="s">
        <v>85</v>
      </c>
      <c r="C3" s="220"/>
    </row>
    <row r="4" spans="2:3" x14ac:dyDescent="0.2">
      <c r="B4" s="220"/>
      <c r="C4" s="220"/>
    </row>
    <row r="5" spans="2:3" x14ac:dyDescent="0.2">
      <c r="B5" s="220"/>
      <c r="C5" s="220"/>
    </row>
    <row r="6" spans="2:3" x14ac:dyDescent="0.2">
      <c r="B6" s="220"/>
      <c r="C6" s="220"/>
    </row>
    <row r="7" spans="2:3" x14ac:dyDescent="0.2">
      <c r="B7" s="220"/>
      <c r="C7" s="220"/>
    </row>
    <row r="8" spans="2:3" x14ac:dyDescent="0.2">
      <c r="B8" s="217" t="s">
        <v>78</v>
      </c>
      <c r="C8" s="217"/>
    </row>
    <row r="9" spans="2:3" ht="15" customHeight="1" x14ac:dyDescent="0.2">
      <c r="B9" s="217"/>
      <c r="C9" s="217"/>
    </row>
    <row r="10" spans="2:3" x14ac:dyDescent="0.2">
      <c r="B10" s="217"/>
      <c r="C10" s="217"/>
    </row>
    <row r="11" spans="2:3" ht="38.25" customHeight="1" x14ac:dyDescent="0.2">
      <c r="B11" s="217" t="s">
        <v>1</v>
      </c>
      <c r="C11" s="217"/>
    </row>
    <row r="12" spans="2:3" ht="15" customHeight="1" x14ac:dyDescent="0.2">
      <c r="B12" s="217" t="s">
        <v>2</v>
      </c>
      <c r="C12" s="217"/>
    </row>
    <row r="13" spans="2:3" ht="20.25" customHeight="1" x14ac:dyDescent="0.2">
      <c r="B13" s="217"/>
      <c r="C13" s="217"/>
    </row>
    <row r="14" spans="2:3" ht="15" customHeight="1" x14ac:dyDescent="0.2">
      <c r="B14" s="217" t="s">
        <v>83</v>
      </c>
      <c r="C14" s="217"/>
    </row>
    <row r="15" spans="2:3" ht="32.25" customHeight="1" x14ac:dyDescent="0.2">
      <c r="B15" s="217"/>
      <c r="C15" s="217"/>
    </row>
    <row r="16" spans="2:3" ht="15" customHeight="1" x14ac:dyDescent="0.2">
      <c r="B16" s="217" t="s">
        <v>84</v>
      </c>
      <c r="C16" s="217"/>
    </row>
    <row r="17" spans="2:3" ht="12.75" customHeight="1" x14ac:dyDescent="0.2">
      <c r="B17" s="217"/>
      <c r="C17" s="217"/>
    </row>
    <row r="18" spans="2:3" ht="29.45" customHeight="1" x14ac:dyDescent="0.2">
      <c r="B18" s="217"/>
      <c r="C18" s="217"/>
    </row>
    <row r="20" spans="2:3" ht="15" customHeight="1" x14ac:dyDescent="0.2"/>
    <row r="21" spans="2:3" ht="18" customHeight="1" x14ac:dyDescent="0.2"/>
  </sheetData>
  <mergeCells count="8">
    <mergeCell ref="B12:C13"/>
    <mergeCell ref="B14:C15"/>
    <mergeCell ref="B16:C18"/>
    <mergeCell ref="B1:C1"/>
    <mergeCell ref="B2:C2"/>
    <mergeCell ref="B3:C7"/>
    <mergeCell ref="B8:C10"/>
    <mergeCell ref="B11:C11"/>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workbookViewId="0">
      <pane xSplit="1" ySplit="7" topLeftCell="B8" activePane="bottomRight" state="frozenSplit"/>
      <selection pane="topRight" activeCell="C1" sqref="C1"/>
      <selection pane="bottomLeft" activeCell="A9" sqref="A9"/>
      <selection pane="bottomRight" activeCell="A3" sqref="A3"/>
    </sheetView>
  </sheetViews>
  <sheetFormatPr defaultColWidth="9.140625" defaultRowHeight="15" x14ac:dyDescent="0.2"/>
  <cols>
    <col min="1" max="1" width="15.42578125" style="5" customWidth="1"/>
    <col min="2" max="2" width="14.140625" style="6" customWidth="1"/>
    <col min="3" max="3" width="15.42578125" style="6" customWidth="1"/>
    <col min="4" max="4" width="14.5703125" style="6" customWidth="1"/>
    <col min="5" max="5" width="13.85546875" style="5" customWidth="1"/>
    <col min="6" max="6" width="18" style="6" customWidth="1"/>
    <col min="7" max="7" width="11.5703125" style="6" customWidth="1"/>
    <col min="8" max="8" width="12.5703125" style="6" customWidth="1"/>
    <col min="9" max="9" width="16.5703125" style="6" customWidth="1"/>
    <col min="10" max="16384" width="9.140625" style="5"/>
  </cols>
  <sheetData>
    <row r="1" spans="1:9" s="13" customFormat="1" ht="37.5" customHeight="1" x14ac:dyDescent="0.4">
      <c r="A1" s="12" t="s">
        <v>3</v>
      </c>
      <c r="B1" s="14"/>
      <c r="C1" s="14"/>
      <c r="D1" s="14"/>
      <c r="F1" s="14"/>
      <c r="G1" s="14"/>
      <c r="H1" s="14"/>
      <c r="I1" s="14"/>
    </row>
    <row r="3" spans="1:9" s="9" customFormat="1" ht="31.5" customHeight="1" x14ac:dyDescent="0.3">
      <c r="A3" s="277" t="s">
        <v>4</v>
      </c>
      <c r="B3" s="17"/>
      <c r="C3" s="17"/>
      <c r="D3" s="17"/>
      <c r="E3" s="16"/>
      <c r="F3" s="278" t="s">
        <v>86</v>
      </c>
      <c r="G3" s="53"/>
      <c r="H3" s="53"/>
      <c r="I3" s="53"/>
    </row>
    <row r="4" spans="1:9" s="31" customFormat="1" ht="18.75" customHeight="1" x14ac:dyDescent="0.2">
      <c r="A4" s="28"/>
      <c r="B4" s="180"/>
      <c r="C4" s="223" t="s">
        <v>90</v>
      </c>
      <c r="D4" s="223" t="s">
        <v>92</v>
      </c>
      <c r="E4" s="223" t="s">
        <v>93</v>
      </c>
      <c r="F4" s="225" t="s">
        <v>5</v>
      </c>
      <c r="G4" s="221" t="s">
        <v>6</v>
      </c>
      <c r="H4" s="221" t="s">
        <v>7</v>
      </c>
      <c r="I4" s="221" t="s">
        <v>8</v>
      </c>
    </row>
    <row r="5" spans="1:9" s="31" customFormat="1" ht="18.75" customHeight="1" x14ac:dyDescent="0.2">
      <c r="A5" s="28"/>
      <c r="B5" s="223" t="s">
        <v>9</v>
      </c>
      <c r="C5" s="223"/>
      <c r="D5" s="223"/>
      <c r="E5" s="223"/>
      <c r="F5" s="225"/>
      <c r="G5" s="221"/>
      <c r="H5" s="221"/>
      <c r="I5" s="221"/>
    </row>
    <row r="6" spans="1:9" s="31" customFormat="1" ht="18.75" customHeight="1" x14ac:dyDescent="0.2">
      <c r="A6" s="28"/>
      <c r="B6" s="223"/>
      <c r="C6" s="223"/>
      <c r="D6" s="223"/>
      <c r="E6" s="223"/>
      <c r="F6" s="225"/>
      <c r="G6" s="221"/>
      <c r="H6" s="221"/>
      <c r="I6" s="221"/>
    </row>
    <row r="7" spans="1:9" s="31" customFormat="1" ht="22.5" customHeight="1" x14ac:dyDescent="0.2">
      <c r="A7" s="30"/>
      <c r="B7" s="224"/>
      <c r="C7" s="224"/>
      <c r="D7" s="224"/>
      <c r="E7" s="224"/>
      <c r="F7" s="226"/>
      <c r="G7" s="222"/>
      <c r="H7" s="222"/>
      <c r="I7" s="222"/>
    </row>
    <row r="8" spans="1:9" s="31" customFormat="1" ht="12.75" x14ac:dyDescent="0.2">
      <c r="A8" s="28"/>
      <c r="B8" s="32"/>
      <c r="C8" s="34"/>
      <c r="D8" s="33"/>
      <c r="E8" s="32"/>
      <c r="F8" s="58"/>
      <c r="G8" s="55"/>
      <c r="H8" s="55"/>
      <c r="I8" s="55"/>
    </row>
    <row r="9" spans="1:9" s="36" customFormat="1" ht="12.75" x14ac:dyDescent="0.2">
      <c r="A9" s="26" t="s">
        <v>10</v>
      </c>
      <c r="B9" s="160">
        <v>71</v>
      </c>
      <c r="C9" s="160">
        <v>15</v>
      </c>
      <c r="D9" s="161">
        <v>9.4</v>
      </c>
      <c r="E9" s="162">
        <v>10588</v>
      </c>
      <c r="F9" s="58">
        <f t="shared" ref="F9:F12" si="0">(IF($B9&gt;85,85,IF($B9&gt;20,$B9,IF($B9&lt;20,20)))-20)/(85-20)</f>
        <v>0.7846153846153846</v>
      </c>
      <c r="G9" s="59">
        <f>((IF($C9&gt;18,18,$C9)/18)+(IF($D9&gt;15,15,$D9)/15))/2</f>
        <v>0.73</v>
      </c>
      <c r="H9" s="59">
        <f t="shared" ref="H9:H12" si="1">(LN(IF($E9&gt;75000,75000, IF($E9&gt;100,$E9, IF($E9&lt;100,100))))-LN(100))/(LN(75000)-LN(100))</f>
        <v>0.70426809974847104</v>
      </c>
      <c r="I9" s="59">
        <f t="shared" ref="I9:I12" si="2">GEOMEAN($F9,$G9,$H9)</f>
        <v>0.73887771061450502</v>
      </c>
    </row>
    <row r="10" spans="1:9" s="36" customFormat="1" ht="12.75" x14ac:dyDescent="0.2">
      <c r="A10" s="26" t="s">
        <v>11</v>
      </c>
      <c r="B10" s="10">
        <v>85.9</v>
      </c>
      <c r="C10" s="11">
        <v>26.7</v>
      </c>
      <c r="D10" s="11">
        <v>16.8</v>
      </c>
      <c r="E10" s="35">
        <v>40070</v>
      </c>
      <c r="F10" s="58">
        <f t="shared" si="0"/>
        <v>1</v>
      </c>
      <c r="G10" s="59">
        <f t="shared" ref="G10:G11" si="3">((IF($C10&gt;18,18,$C10)/18)+(IF($D10&gt;15,15,$D10)/15))/2</f>
        <v>1</v>
      </c>
      <c r="H10" s="59">
        <f>(LN(IF($E10&gt;75000,75000, IF($E10&gt;100,$E10, IF($E10&lt;100,100))))-LN(100))/(LN(75000)-LN(100))</f>
        <v>0.90530917569462943</v>
      </c>
      <c r="I10" s="59">
        <f t="shared" si="2"/>
        <v>0.96738416468061528</v>
      </c>
    </row>
    <row r="11" spans="1:9" s="36" customFormat="1" ht="12.75" x14ac:dyDescent="0.2">
      <c r="A11" s="26" t="s">
        <v>12</v>
      </c>
      <c r="B11" s="10">
        <v>78.8</v>
      </c>
      <c r="C11" s="11">
        <v>14.6</v>
      </c>
      <c r="D11" s="10">
        <v>11.8</v>
      </c>
      <c r="E11" s="35">
        <v>76000</v>
      </c>
      <c r="F11" s="58">
        <f t="shared" si="0"/>
        <v>0.9046153846153846</v>
      </c>
      <c r="G11" s="59">
        <f t="shared" si="3"/>
        <v>0.79888888888888898</v>
      </c>
      <c r="H11" s="59">
        <f t="shared" si="1"/>
        <v>1</v>
      </c>
      <c r="I11" s="59">
        <f t="shared" si="2"/>
        <v>0.89739459638990515</v>
      </c>
    </row>
    <row r="12" spans="1:9" s="36" customFormat="1" ht="12.75" x14ac:dyDescent="0.2">
      <c r="A12" s="26" t="s">
        <v>13</v>
      </c>
      <c r="B12" s="10">
        <v>49.4</v>
      </c>
      <c r="C12" s="11">
        <v>5.5</v>
      </c>
      <c r="D12" s="10">
        <v>10.1</v>
      </c>
      <c r="E12" s="35">
        <v>1990</v>
      </c>
      <c r="F12" s="58">
        <f t="shared" si="0"/>
        <v>0.4523076923076923</v>
      </c>
      <c r="G12" s="59">
        <f>((IF($C12&gt;18,18,$C12)/18)+(IF($D12&gt;15,15,$D12)/15))/2</f>
        <v>0.48944444444444446</v>
      </c>
      <c r="H12" s="59">
        <f t="shared" si="1"/>
        <v>0.45176535642842408</v>
      </c>
      <c r="I12" s="59">
        <f t="shared" si="2"/>
        <v>0.46417680373802572</v>
      </c>
    </row>
  </sheetData>
  <mergeCells count="8">
    <mergeCell ref="H4:H7"/>
    <mergeCell ref="I4:I7"/>
    <mergeCell ref="E4:E7"/>
    <mergeCell ref="B5:B7"/>
    <mergeCell ref="D4:D7"/>
    <mergeCell ref="C4:C7"/>
    <mergeCell ref="F4:F7"/>
    <mergeCell ref="G4:G7"/>
  </mergeCells>
  <phoneticPr fontId="6" type="noConversion"/>
  <printOptions horizontalCentered="1" verticalCentered="1"/>
  <pageMargins left="0" right="0" top="0" bottom="1" header="0.5" footer="0.5"/>
  <pageSetup scale="60" orientation="portrait" r:id="rId1"/>
  <headerFooter alignWithMargins="0">
    <oddFooter>&amp;L&amp;"MS Sans Serif,Bold"MONITORING HUMAN DEVELOPMENT: ENLARGING PEOPLE'S CHOICES...&amp;CPage &amp;P&amp;R28 March: 5:45pm</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3"/>
  <sheetViews>
    <sheetView zoomScaleNormal="100" workbookViewId="0">
      <pane xSplit="1" ySplit="1" topLeftCell="B2" activePane="bottomRight" state="frozen"/>
      <selection pane="topRight" activeCell="B1" sqref="B1"/>
      <selection pane="bottomLeft" activeCell="A2" sqref="A2"/>
      <selection pane="bottomRight" activeCell="A3" sqref="A3:H3"/>
    </sheetView>
  </sheetViews>
  <sheetFormatPr defaultColWidth="9.140625" defaultRowHeight="15" x14ac:dyDescent="0.2"/>
  <cols>
    <col min="1" max="1" width="15.42578125" style="5" customWidth="1"/>
    <col min="2" max="3" width="14.140625" style="6" customWidth="1"/>
    <col min="4" max="4" width="13.140625" style="6" customWidth="1"/>
    <col min="5" max="5" width="13.85546875" style="6" customWidth="1"/>
    <col min="6" max="6" width="11.85546875" style="5" customWidth="1"/>
    <col min="7" max="7" width="11.5703125" style="5" customWidth="1"/>
    <col min="8" max="8" width="13.85546875" style="5" customWidth="1"/>
    <col min="9" max="9" width="1.140625" style="5" customWidth="1"/>
    <col min="10" max="10" width="13.85546875" style="5" customWidth="1"/>
    <col min="11" max="11" width="12.42578125" style="5" customWidth="1"/>
    <col min="12" max="12" width="10.42578125" style="5" customWidth="1"/>
    <col min="13" max="13" width="0.85546875" style="5" customWidth="1"/>
    <col min="14" max="14" width="14.5703125" style="6" customWidth="1"/>
    <col min="15" max="15" width="13.85546875" style="5" customWidth="1"/>
    <col min="16" max="16" width="12.42578125" style="5" customWidth="1"/>
    <col min="17" max="17" width="10.42578125" style="5" customWidth="1"/>
    <col min="18" max="18" width="15.5703125" style="5" customWidth="1"/>
    <col min="19" max="19" width="11.5703125" style="6" customWidth="1"/>
    <col min="20" max="20" width="10.5703125" style="5" customWidth="1"/>
    <col min="21" max="16384" width="9.140625" style="5"/>
  </cols>
  <sheetData>
    <row r="1" spans="1:20" s="13" customFormat="1" ht="37.5" customHeight="1" x14ac:dyDescent="0.4">
      <c r="A1" s="12" t="s">
        <v>14</v>
      </c>
      <c r="B1" s="14"/>
      <c r="C1" s="14"/>
      <c r="D1" s="14"/>
      <c r="E1" s="14"/>
      <c r="N1" s="14"/>
      <c r="S1" s="14"/>
    </row>
    <row r="3" spans="1:20" s="9" customFormat="1" ht="31.5" customHeight="1" x14ac:dyDescent="0.3">
      <c r="A3" s="274" t="s">
        <v>4</v>
      </c>
      <c r="B3" s="275"/>
      <c r="C3" s="275"/>
      <c r="D3" s="275"/>
      <c r="E3" s="275"/>
      <c r="F3" s="275"/>
      <c r="G3" s="275"/>
      <c r="H3" s="275"/>
      <c r="I3" s="49"/>
      <c r="J3" s="276" t="s">
        <v>86</v>
      </c>
      <c r="K3" s="53"/>
      <c r="L3" s="53"/>
      <c r="M3" s="53"/>
      <c r="N3" s="211"/>
      <c r="O3" s="210"/>
      <c r="P3" s="53"/>
      <c r="Q3" s="53"/>
      <c r="R3" s="53"/>
      <c r="S3" s="212"/>
      <c r="T3" s="212"/>
    </row>
    <row r="4" spans="1:20" s="31" customFormat="1" ht="15.75" customHeight="1" x14ac:dyDescent="0.2">
      <c r="A4" s="28"/>
      <c r="B4" s="165" t="s">
        <v>15</v>
      </c>
      <c r="C4" s="165"/>
      <c r="D4" s="29"/>
      <c r="E4" s="29"/>
      <c r="F4" s="242" t="s">
        <v>16</v>
      </c>
      <c r="G4" s="243"/>
      <c r="H4" s="243"/>
      <c r="I4" s="24"/>
      <c r="J4" s="234" t="s">
        <v>79</v>
      </c>
      <c r="K4" s="235"/>
      <c r="L4" s="235"/>
      <c r="M4" s="139"/>
      <c r="N4" s="144"/>
      <c r="O4" s="229" t="s">
        <v>80</v>
      </c>
      <c r="P4" s="230"/>
      <c r="Q4" s="231"/>
      <c r="R4" s="55"/>
      <c r="S4" s="60"/>
      <c r="T4" s="60"/>
    </row>
    <row r="5" spans="1:20" s="31" customFormat="1" ht="15" customHeight="1" x14ac:dyDescent="0.2">
      <c r="A5" s="28"/>
      <c r="B5" s="29"/>
      <c r="C5" s="29"/>
      <c r="D5" s="30"/>
      <c r="E5" s="29"/>
      <c r="F5" s="244"/>
      <c r="G5" s="243"/>
      <c r="H5" s="243"/>
      <c r="I5" s="24"/>
      <c r="J5" s="234"/>
      <c r="K5" s="235"/>
      <c r="L5" s="235"/>
      <c r="M5" s="139"/>
      <c r="N5" s="144"/>
      <c r="O5" s="229"/>
      <c r="P5" s="230"/>
      <c r="Q5" s="231"/>
      <c r="R5" s="55"/>
      <c r="S5" s="60"/>
      <c r="T5" s="60"/>
    </row>
    <row r="6" spans="1:20" s="31" customFormat="1" ht="18.75" customHeight="1" x14ac:dyDescent="0.2">
      <c r="A6" s="28"/>
      <c r="B6" s="180"/>
      <c r="C6" s="180"/>
      <c r="D6" s="223" t="s">
        <v>91</v>
      </c>
      <c r="E6" s="223" t="s">
        <v>94</v>
      </c>
      <c r="F6" s="40"/>
      <c r="G6" s="30"/>
      <c r="H6" s="30"/>
      <c r="I6" s="47"/>
      <c r="J6" s="245" t="s">
        <v>5</v>
      </c>
      <c r="K6" s="236" t="s">
        <v>6</v>
      </c>
      <c r="L6" s="236" t="s">
        <v>77</v>
      </c>
      <c r="M6" s="178"/>
      <c r="N6" s="236" t="s">
        <v>8</v>
      </c>
      <c r="O6" s="225" t="s">
        <v>5</v>
      </c>
      <c r="P6" s="221" t="s">
        <v>6</v>
      </c>
      <c r="Q6" s="227" t="s">
        <v>77</v>
      </c>
      <c r="R6" s="221" t="s">
        <v>18</v>
      </c>
      <c r="S6" s="221" t="s">
        <v>19</v>
      </c>
      <c r="T6" s="232" t="s">
        <v>20</v>
      </c>
    </row>
    <row r="7" spans="1:20" s="31" customFormat="1" ht="18.75" customHeight="1" x14ac:dyDescent="0.2">
      <c r="A7" s="28"/>
      <c r="B7" s="223" t="s">
        <v>21</v>
      </c>
      <c r="C7" s="223" t="s">
        <v>24</v>
      </c>
      <c r="D7" s="223"/>
      <c r="E7" s="223"/>
      <c r="F7" s="238" t="s">
        <v>22</v>
      </c>
      <c r="G7" s="223" t="s">
        <v>23</v>
      </c>
      <c r="H7" s="223" t="s">
        <v>95</v>
      </c>
      <c r="I7" s="47"/>
      <c r="J7" s="245"/>
      <c r="K7" s="236"/>
      <c r="L7" s="236"/>
      <c r="M7" s="178"/>
      <c r="N7" s="236"/>
      <c r="O7" s="225"/>
      <c r="P7" s="221"/>
      <c r="Q7" s="227"/>
      <c r="R7" s="221"/>
      <c r="S7" s="221"/>
      <c r="T7" s="233"/>
    </row>
    <row r="8" spans="1:20" s="31" customFormat="1" ht="18.75" customHeight="1" x14ac:dyDescent="0.2">
      <c r="A8" s="28"/>
      <c r="B8" s="223"/>
      <c r="C8" s="223"/>
      <c r="D8" s="223"/>
      <c r="E8" s="223"/>
      <c r="F8" s="238"/>
      <c r="G8" s="240"/>
      <c r="H8" s="240"/>
      <c r="I8" s="24"/>
      <c r="J8" s="245"/>
      <c r="K8" s="236"/>
      <c r="L8" s="236"/>
      <c r="M8" s="178"/>
      <c r="N8" s="236"/>
      <c r="O8" s="225"/>
      <c r="P8" s="221"/>
      <c r="Q8" s="227"/>
      <c r="R8" s="221"/>
      <c r="S8" s="221"/>
      <c r="T8" s="233"/>
    </row>
    <row r="9" spans="1:20" s="31" customFormat="1" ht="39.75" customHeight="1" x14ac:dyDescent="0.2">
      <c r="A9" s="30"/>
      <c r="B9" s="224"/>
      <c r="C9" s="224"/>
      <c r="D9" s="224"/>
      <c r="E9" s="224"/>
      <c r="F9" s="239"/>
      <c r="G9" s="241"/>
      <c r="H9" s="241"/>
      <c r="I9" s="24"/>
      <c r="J9" s="246"/>
      <c r="K9" s="237"/>
      <c r="L9" s="237"/>
      <c r="M9" s="179"/>
      <c r="N9" s="237"/>
      <c r="O9" s="226"/>
      <c r="P9" s="222"/>
      <c r="Q9" s="228"/>
      <c r="R9" s="222"/>
      <c r="S9" s="221"/>
      <c r="T9" s="233"/>
    </row>
    <row r="10" spans="1:20" s="31" customFormat="1" ht="15" customHeight="1" x14ac:dyDescent="0.2">
      <c r="A10" s="42"/>
      <c r="B10" s="42" t="s">
        <v>25</v>
      </c>
      <c r="C10" s="42" t="s">
        <v>25</v>
      </c>
      <c r="D10" s="42" t="s">
        <v>25</v>
      </c>
      <c r="E10" s="181" t="s">
        <v>96</v>
      </c>
      <c r="F10" s="43"/>
      <c r="G10" s="44" t="s">
        <v>26</v>
      </c>
      <c r="H10" s="44"/>
      <c r="I10" s="50"/>
      <c r="J10" s="145"/>
      <c r="K10" s="146"/>
      <c r="L10" s="146"/>
      <c r="M10" s="48"/>
      <c r="N10" s="146"/>
      <c r="O10" s="56"/>
      <c r="P10" s="57"/>
      <c r="Q10" s="141"/>
      <c r="R10" s="57"/>
      <c r="S10" s="57"/>
      <c r="T10" s="94"/>
    </row>
    <row r="11" spans="1:20" s="31" customFormat="1" ht="12.75" x14ac:dyDescent="0.2">
      <c r="A11" s="28"/>
      <c r="B11" s="32"/>
      <c r="C11" s="34"/>
      <c r="D11" s="33"/>
      <c r="E11" s="32"/>
      <c r="F11" s="41"/>
      <c r="G11" s="32"/>
      <c r="H11" s="32"/>
      <c r="I11" s="51"/>
      <c r="J11" s="147"/>
      <c r="K11" s="143"/>
      <c r="L11" s="143"/>
      <c r="M11" s="139"/>
      <c r="N11" s="148"/>
      <c r="O11" s="58"/>
      <c r="P11" s="55"/>
      <c r="Q11" s="140"/>
      <c r="R11" s="55"/>
      <c r="S11" s="61"/>
      <c r="T11" s="60"/>
    </row>
    <row r="12" spans="1:20" s="36" customFormat="1" ht="12.75" x14ac:dyDescent="0.2">
      <c r="A12" s="26" t="s">
        <v>10</v>
      </c>
      <c r="B12" s="160">
        <v>68</v>
      </c>
      <c r="C12" s="160">
        <v>14</v>
      </c>
      <c r="D12" s="161">
        <v>12.4</v>
      </c>
      <c r="E12" s="166">
        <v>7770</v>
      </c>
      <c r="F12" s="163">
        <v>10</v>
      </c>
      <c r="G12" s="164">
        <v>15</v>
      </c>
      <c r="H12" s="164">
        <v>26.5</v>
      </c>
      <c r="I12" s="52"/>
      <c r="J12" s="147">
        <f>(IF($B12&gt;85,85,IF($B12&gt;20,$B12,IF($B12&lt;20,20)))-20)/(85-20)</f>
        <v>0.7384615384615385</v>
      </c>
      <c r="K12" s="148">
        <f>((IF($D12&gt;15,15,$D12)/15)+(IF($C12&gt;18,18,$C12)/18))/2</f>
        <v>0.80222222222222217</v>
      </c>
      <c r="L12" s="148">
        <f>(LN(IF($E12&gt;75000,75000, IF($E12&gt;100,$E12, IF($E12&lt;100,100))))-LN(100))/(LN(75000)-LN(100))</f>
        <v>0.65752373449280566</v>
      </c>
      <c r="M12" s="39"/>
      <c r="N12" s="148">
        <f>GEOMEAN($J12,$K12,$L12)</f>
        <v>0.73031687259701261</v>
      </c>
      <c r="O12" s="58">
        <f>$J12*(1-$F12/100)</f>
        <v>0.66461538461538472</v>
      </c>
      <c r="P12" s="59">
        <f>$K12*(1-$G12/100)</f>
        <v>0.68188888888888888</v>
      </c>
      <c r="Q12" s="142">
        <f>$L12*(1-$H12/100)</f>
        <v>0.48327994485221215</v>
      </c>
      <c r="R12" s="59">
        <f>($O12*$P12*$Q12)^(1/3)</f>
        <v>0.60278290299621162</v>
      </c>
      <c r="S12" s="61">
        <f>100*(1-R12/N12)</f>
        <v>17.462826669646724</v>
      </c>
      <c r="T12" s="61">
        <f>AVERAGE(F12:H12)</f>
        <v>17.166666666666668</v>
      </c>
    </row>
    <row r="13" spans="1:20" s="36" customFormat="1" ht="12.75" x14ac:dyDescent="0.2">
      <c r="A13" s="26" t="s">
        <v>11</v>
      </c>
      <c r="B13" s="10">
        <v>48.8</v>
      </c>
      <c r="C13" s="11">
        <v>16.2</v>
      </c>
      <c r="D13" s="11">
        <v>10.7</v>
      </c>
      <c r="E13" s="114">
        <v>10070</v>
      </c>
      <c r="F13" s="45">
        <v>18.399999999999999</v>
      </c>
      <c r="G13" s="46">
        <v>23.7</v>
      </c>
      <c r="H13" s="46">
        <v>42.7</v>
      </c>
      <c r="I13" s="52"/>
      <c r="J13" s="147">
        <f t="shared" ref="J13:J14" si="0">(IF($B13&gt;85,85,IF($B13&gt;20,$B13,IF($B13&lt;20,20)))-20)/(85-20)</f>
        <v>0.44307692307692303</v>
      </c>
      <c r="K13" s="148">
        <f>((IF($D13&gt;15,15,$D13)/15)+(IF($C13&gt;18,18,$C13)/18))/2</f>
        <v>0.80666666666666664</v>
      </c>
      <c r="L13" s="148">
        <f>(LN(IF($E13&gt;75000,75000, IF($E13&gt;100,$E13, IF($E13&lt;100,100))))-LN(100))/(LN(75000)-LN(100))</f>
        <v>0.6966910570074778</v>
      </c>
      <c r="M13" s="39"/>
      <c r="N13" s="148">
        <f t="shared" ref="N13:N15" si="1">GEOMEAN($J13,$K13,$L13)</f>
        <v>0.62912627862612902</v>
      </c>
      <c r="O13" s="58">
        <f t="shared" ref="O13:O15" si="2">$J13*(1-$F13/100)</f>
        <v>0.36155076923076923</v>
      </c>
      <c r="P13" s="59">
        <f t="shared" ref="P13:P15" si="3">$K13*(1-$G13/100)</f>
        <v>0.61548666666666663</v>
      </c>
      <c r="Q13" s="142">
        <f t="shared" ref="Q13:Q15" si="4">$L13*(1-$H13/100)</f>
        <v>0.39920397566528476</v>
      </c>
      <c r="R13" s="59">
        <f t="shared" ref="R13:R15" si="5">($O13*$P13*$Q13)^(1/3)</f>
        <v>0.44619797908581527</v>
      </c>
      <c r="S13" s="61">
        <f>100*(1-R13/N13)</f>
        <v>29.076563124940225</v>
      </c>
      <c r="T13" s="61">
        <f>AVERAGE(F13:H13)</f>
        <v>28.266666666666666</v>
      </c>
    </row>
    <row r="14" spans="1:20" s="36" customFormat="1" ht="12.75" x14ac:dyDescent="0.2">
      <c r="A14" s="26" t="s">
        <v>12</v>
      </c>
      <c r="B14" s="10">
        <v>60.8</v>
      </c>
      <c r="C14" s="11">
        <v>9</v>
      </c>
      <c r="D14" s="10">
        <v>6.5</v>
      </c>
      <c r="E14" s="114">
        <v>1940</v>
      </c>
      <c r="F14" s="45">
        <v>21.1</v>
      </c>
      <c r="G14" s="46">
        <v>26.4</v>
      </c>
      <c r="H14" s="46">
        <v>33.200000000000003</v>
      </c>
      <c r="I14" s="52"/>
      <c r="J14" s="147">
        <f t="shared" si="0"/>
        <v>0.62769230769230766</v>
      </c>
      <c r="K14" s="148">
        <f>((IF($D14&gt;15,15,$D14)/15)+(IF($C14&gt;18,18,$C14)/18))/2</f>
        <v>0.46666666666666667</v>
      </c>
      <c r="L14" s="148">
        <f t="shared" ref="L14:L15" si="6">(LN(IF($E14&gt;75000,75000, IF($E14&gt;100,$E14, IF($E14&lt;100,100))))-LN(100))/(LN(75000)-LN(100))</f>
        <v>0.44792149173580076</v>
      </c>
      <c r="M14" s="39"/>
      <c r="N14" s="148">
        <f t="shared" si="1"/>
        <v>0.50814208208155676</v>
      </c>
      <c r="O14" s="58">
        <f t="shared" si="2"/>
        <v>0.49524923076923072</v>
      </c>
      <c r="P14" s="59">
        <f t="shared" si="3"/>
        <v>0.34346666666666664</v>
      </c>
      <c r="Q14" s="142">
        <f t="shared" si="4"/>
        <v>0.29921155647951486</v>
      </c>
      <c r="R14" s="59">
        <f t="shared" si="5"/>
        <v>0.3705916155713011</v>
      </c>
      <c r="S14" s="61">
        <f>100*(1-R14/N14)</f>
        <v>27.06929249921458</v>
      </c>
      <c r="T14" s="61">
        <f>AVERAGE(F14:H14)</f>
        <v>26.900000000000002</v>
      </c>
    </row>
    <row r="15" spans="1:20" s="36" customFormat="1" ht="12.75" x14ac:dyDescent="0.2">
      <c r="A15" s="26" t="s">
        <v>13</v>
      </c>
      <c r="B15" s="10">
        <v>49.4</v>
      </c>
      <c r="C15" s="11">
        <v>10.1</v>
      </c>
      <c r="D15" s="10">
        <v>5.5</v>
      </c>
      <c r="E15" s="114">
        <v>4567</v>
      </c>
      <c r="F15" s="45">
        <v>13.7</v>
      </c>
      <c r="G15" s="46">
        <v>19.600000000000001</v>
      </c>
      <c r="H15" s="46">
        <v>42.1</v>
      </c>
      <c r="I15" s="52"/>
      <c r="J15" s="147">
        <f>(IF($B15&gt;85,85,IF($B15&gt;20,$B15,IF($B15&lt;20,20)))-20)/(85-20)</f>
        <v>0.4523076923076923</v>
      </c>
      <c r="K15" s="148">
        <f>((IF($D15&gt;15,15,$D15)/15)+(IF($C15&gt;18,18,$C15)/18))/2</f>
        <v>0.46388888888888891</v>
      </c>
      <c r="L15" s="148">
        <f t="shared" si="6"/>
        <v>0.57725065992129154</v>
      </c>
      <c r="M15" s="39"/>
      <c r="N15" s="148">
        <f t="shared" si="1"/>
        <v>0.49477087581991885</v>
      </c>
      <c r="O15" s="58">
        <f t="shared" si="2"/>
        <v>0.39034153846153846</v>
      </c>
      <c r="P15" s="59">
        <f t="shared" si="3"/>
        <v>0.37296666666666672</v>
      </c>
      <c r="Q15" s="142">
        <f t="shared" si="4"/>
        <v>0.33422813209442775</v>
      </c>
      <c r="R15" s="59">
        <f t="shared" si="5"/>
        <v>0.3650782248359799</v>
      </c>
      <c r="S15" s="61">
        <f>100*(1-R15/N15)</f>
        <v>26.212668797252125</v>
      </c>
      <c r="T15" s="61">
        <f>AVERAGE(F15:H15)</f>
        <v>25.133333333333336</v>
      </c>
    </row>
    <row r="20" spans="6:10" x14ac:dyDescent="0.2">
      <c r="F20" s="151"/>
    </row>
    <row r="21" spans="6:10" x14ac:dyDescent="0.2">
      <c r="F21" s="152"/>
    </row>
    <row r="23" spans="6:10" x14ac:dyDescent="0.2">
      <c r="F23" s="150"/>
      <c r="G23" s="149"/>
      <c r="H23" s="150"/>
      <c r="I23" s="149"/>
      <c r="J23" s="150"/>
    </row>
  </sheetData>
  <mergeCells count="21">
    <mergeCell ref="A3:H3"/>
    <mergeCell ref="F7:F9"/>
    <mergeCell ref="G7:G9"/>
    <mergeCell ref="H7:H9"/>
    <mergeCell ref="L6:L9"/>
    <mergeCell ref="F4:H5"/>
    <mergeCell ref="K6:K9"/>
    <mergeCell ref="B7:B9"/>
    <mergeCell ref="J6:J9"/>
    <mergeCell ref="D6:D9"/>
    <mergeCell ref="E6:E9"/>
    <mergeCell ref="C7:C9"/>
    <mergeCell ref="P6:P9"/>
    <mergeCell ref="Q6:Q9"/>
    <mergeCell ref="O4:Q5"/>
    <mergeCell ref="T6:T9"/>
    <mergeCell ref="J4:L5"/>
    <mergeCell ref="N6:N9"/>
    <mergeCell ref="S6:S9"/>
    <mergeCell ref="R6:R9"/>
    <mergeCell ref="O6:O9"/>
  </mergeCells>
  <printOptions horizontalCentered="1" verticalCentered="1"/>
  <pageMargins left="0" right="0" top="0" bottom="1" header="0.5" footer="0.5"/>
  <pageSetup scale="60" orientation="portrait" r:id="rId1"/>
  <headerFooter alignWithMargins="0">
    <oddFooter>&amp;L&amp;"MS Sans Serif,Bold"MONITORING HUMAN DEVELOPMENT: ENLARGING PEOPLE'S CHOICES...&amp;CPage &amp;P&amp;R28 March: 5:45pm</oddFooter>
  </headerFooter>
  <ignoredErrors>
    <ignoredError sqref="T12:T15"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6"/>
  <sheetViews>
    <sheetView zoomScaleNormal="100" workbookViewId="0">
      <pane xSplit="1" ySplit="6" topLeftCell="B7" activePane="bottomRight" state="frozen"/>
      <selection pane="topRight" activeCell="B1" sqref="B1"/>
      <selection pane="bottomLeft" activeCell="A9" sqref="A9"/>
      <selection pane="bottomRight" activeCell="A3" sqref="A3"/>
    </sheetView>
  </sheetViews>
  <sheetFormatPr defaultRowHeight="12.75" x14ac:dyDescent="0.2"/>
  <cols>
    <col min="1" max="1" width="12.5703125" customWidth="1"/>
    <col min="2" max="2" width="11.140625" customWidth="1"/>
    <col min="3" max="3" width="1.85546875" customWidth="1"/>
    <col min="4" max="4" width="12.5703125" customWidth="1"/>
    <col min="5" max="5" width="2" customWidth="1"/>
    <col min="8" max="8" width="2.42578125" customWidth="1"/>
    <col min="11" max="11" width="3" customWidth="1"/>
    <col min="14" max="14" width="1.140625" customWidth="1"/>
    <col min="15" max="15" width="12" customWidth="1"/>
    <col min="16" max="16" width="6.5703125" customWidth="1"/>
    <col min="17" max="17" width="4.42578125" customWidth="1"/>
    <col min="18" max="18" width="13.140625" customWidth="1"/>
    <col min="19" max="19" width="11.28515625" customWidth="1"/>
    <col min="20" max="20" width="3.140625" customWidth="1"/>
    <col min="21" max="21" width="7.42578125" customWidth="1"/>
    <col min="22" max="22" width="7.5703125" customWidth="1"/>
    <col min="23" max="23" width="0.85546875" customWidth="1"/>
    <col min="24" max="24" width="9.28515625" customWidth="1"/>
    <col min="25" max="25" width="12.140625" customWidth="1"/>
    <col min="26" max="26" width="2" customWidth="1"/>
    <col min="27" max="27" width="12" customWidth="1"/>
    <col min="28" max="28" width="10.85546875" customWidth="1"/>
    <col min="29" max="29" width="0.7109375" customWidth="1"/>
    <col min="30" max="30" width="15.85546875" bestFit="1" customWidth="1"/>
    <col min="31" max="31" width="1.42578125" customWidth="1"/>
    <col min="32" max="32" width="13.5703125" customWidth="1"/>
    <col min="33" max="33" width="10.42578125" customWidth="1"/>
    <col min="34" max="34" width="9.140625" customWidth="1"/>
  </cols>
  <sheetData>
    <row r="1" spans="1:34" s="21" customFormat="1" ht="23.25" x14ac:dyDescent="0.35">
      <c r="A1" s="18" t="s">
        <v>27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4" x14ac:dyDescent="0.2">
      <c r="A2" s="1"/>
      <c r="B2" s="1"/>
      <c r="C2" s="1"/>
      <c r="D2" s="1"/>
      <c r="E2" s="1"/>
    </row>
    <row r="3" spans="1:34" s="8" customFormat="1" ht="36.75" customHeight="1" x14ac:dyDescent="0.3">
      <c r="A3" s="272" t="s">
        <v>4</v>
      </c>
      <c r="B3" s="19"/>
      <c r="C3" s="19"/>
      <c r="D3" s="19"/>
      <c r="E3" s="19"/>
      <c r="F3" s="2"/>
      <c r="G3" s="20"/>
      <c r="H3" s="20"/>
      <c r="I3" s="20"/>
      <c r="J3" s="20"/>
      <c r="K3" s="20"/>
      <c r="L3" s="20"/>
      <c r="M3" s="20"/>
      <c r="N3" s="67"/>
      <c r="O3" s="273" t="s">
        <v>86</v>
      </c>
      <c r="P3" s="128"/>
      <c r="Q3" s="128"/>
      <c r="R3" s="128"/>
      <c r="S3" s="128"/>
      <c r="T3" s="128"/>
      <c r="U3" s="128"/>
      <c r="V3" s="128"/>
      <c r="W3" s="64"/>
      <c r="X3" s="136"/>
      <c r="Y3" s="128"/>
      <c r="Z3" s="128"/>
      <c r="AA3" s="128"/>
      <c r="AB3" s="128"/>
      <c r="AC3" s="64"/>
      <c r="AD3" s="128"/>
      <c r="AE3" s="64"/>
    </row>
    <row r="4" spans="1:34" s="1" customFormat="1" x14ac:dyDescent="0.2">
      <c r="A4" s="7"/>
      <c r="B4" s="7"/>
      <c r="C4" s="7"/>
      <c r="D4" s="7"/>
      <c r="E4" s="7"/>
      <c r="F4" s="7"/>
      <c r="G4" s="7"/>
      <c r="H4" s="7"/>
      <c r="I4" s="7"/>
      <c r="J4" s="7"/>
      <c r="K4" s="7"/>
      <c r="L4" s="7"/>
      <c r="M4" s="7"/>
      <c r="N4" s="68"/>
      <c r="O4" s="129"/>
      <c r="P4" s="129"/>
      <c r="Q4" s="129"/>
      <c r="R4" s="129"/>
      <c r="S4" s="129"/>
      <c r="T4" s="129"/>
      <c r="U4" s="129"/>
      <c r="V4" s="129"/>
      <c r="X4" s="137"/>
      <c r="Y4" s="193"/>
      <c r="Z4" s="129"/>
      <c r="AA4" s="129"/>
      <c r="AB4" s="129"/>
      <c r="AD4" s="129"/>
    </row>
    <row r="5" spans="1:34" ht="13.5" customHeight="1" x14ac:dyDescent="0.2">
      <c r="A5" s="4"/>
      <c r="B5" s="4"/>
      <c r="C5" s="4"/>
      <c r="D5" s="4"/>
      <c r="E5" s="4"/>
      <c r="F5" s="4"/>
      <c r="G5" s="4"/>
      <c r="H5" s="4"/>
      <c r="I5" s="4"/>
      <c r="J5" s="4"/>
      <c r="K5" s="4"/>
      <c r="L5" s="4"/>
      <c r="M5" s="4"/>
      <c r="N5" s="69"/>
      <c r="O5" s="247" t="s">
        <v>28</v>
      </c>
      <c r="P5" s="247"/>
      <c r="Q5" s="247"/>
      <c r="R5" s="247"/>
      <c r="S5" s="247"/>
      <c r="T5" s="247"/>
      <c r="U5" s="247"/>
      <c r="V5" s="247"/>
      <c r="W5" s="1"/>
      <c r="X5" s="248" t="s">
        <v>29</v>
      </c>
      <c r="Y5" s="247"/>
      <c r="Z5" s="247"/>
      <c r="AA5" s="247"/>
      <c r="AB5" s="247"/>
      <c r="AC5" s="1"/>
      <c r="AD5" s="129"/>
      <c r="AF5" s="243"/>
      <c r="AG5" s="49"/>
      <c r="AH5" s="49"/>
    </row>
    <row r="6" spans="1:34" s="3" customFormat="1" ht="98.25" customHeight="1" thickBot="1" x14ac:dyDescent="0.25">
      <c r="A6" s="25"/>
      <c r="B6" s="182" t="s">
        <v>30</v>
      </c>
      <c r="C6" s="183" t="s">
        <v>31</v>
      </c>
      <c r="D6" s="182" t="s">
        <v>32</v>
      </c>
      <c r="E6" s="184"/>
      <c r="F6" s="249" t="s">
        <v>33</v>
      </c>
      <c r="G6" s="249"/>
      <c r="H6" s="185" t="s">
        <v>34</v>
      </c>
      <c r="I6" s="249" t="s">
        <v>35</v>
      </c>
      <c r="J6" s="249"/>
      <c r="K6" s="186"/>
      <c r="L6" s="249" t="s">
        <v>36</v>
      </c>
      <c r="M6" s="249"/>
      <c r="N6" s="70"/>
      <c r="O6" s="250" t="s">
        <v>81</v>
      </c>
      <c r="P6" s="250"/>
      <c r="Q6" s="190"/>
      <c r="R6" s="250" t="s">
        <v>37</v>
      </c>
      <c r="S6" s="250"/>
      <c r="T6" s="190"/>
      <c r="U6" s="250" t="s">
        <v>82</v>
      </c>
      <c r="V6" s="250"/>
      <c r="W6" s="188"/>
      <c r="X6" s="250" t="s">
        <v>38</v>
      </c>
      <c r="Y6" s="250"/>
      <c r="Z6" s="189"/>
      <c r="AA6" s="187" t="s">
        <v>39</v>
      </c>
      <c r="AB6" s="187" t="s">
        <v>40</v>
      </c>
      <c r="AC6" s="188"/>
      <c r="AD6" s="187" t="s">
        <v>87</v>
      </c>
      <c r="AE6" s="66"/>
      <c r="AF6" s="243"/>
      <c r="AG6" s="65"/>
      <c r="AH6" s="65"/>
    </row>
    <row r="7" spans="1:34" s="22" customFormat="1" x14ac:dyDescent="0.2">
      <c r="A7" s="23"/>
      <c r="B7" s="37"/>
      <c r="C7" s="37"/>
      <c r="D7" s="37"/>
      <c r="E7" s="37"/>
      <c r="F7" s="37" t="s">
        <v>41</v>
      </c>
      <c r="G7" s="37" t="s">
        <v>42</v>
      </c>
      <c r="H7" s="37"/>
      <c r="I7" s="37" t="s">
        <v>41</v>
      </c>
      <c r="J7" s="37" t="s">
        <v>42</v>
      </c>
      <c r="K7" s="37"/>
      <c r="L7" s="37" t="s">
        <v>41</v>
      </c>
      <c r="M7" s="37" t="s">
        <v>42</v>
      </c>
      <c r="N7" s="71"/>
      <c r="O7" s="130" t="s">
        <v>41</v>
      </c>
      <c r="P7" s="130" t="s">
        <v>42</v>
      </c>
      <c r="Q7" s="215" t="s">
        <v>103</v>
      </c>
      <c r="R7" s="130" t="s">
        <v>43</v>
      </c>
      <c r="S7" s="130" t="s">
        <v>42</v>
      </c>
      <c r="T7" s="130"/>
      <c r="U7" s="130" t="s">
        <v>41</v>
      </c>
      <c r="V7" s="130" t="s">
        <v>42</v>
      </c>
      <c r="W7"/>
      <c r="X7" s="191" t="s">
        <v>41</v>
      </c>
      <c r="Y7" s="192" t="s">
        <v>42</v>
      </c>
      <c r="Z7" s="131"/>
      <c r="AA7" s="131"/>
      <c r="AB7" s="131"/>
      <c r="AC7"/>
      <c r="AD7" s="131"/>
      <c r="AE7" s="24"/>
      <c r="AF7" s="24"/>
      <c r="AG7" s="24"/>
    </row>
    <row r="8" spans="1:34" x14ac:dyDescent="0.2">
      <c r="A8" s="27" t="s">
        <v>10</v>
      </c>
      <c r="B8" s="95">
        <v>110</v>
      </c>
      <c r="C8" s="95"/>
      <c r="D8" s="98">
        <v>75.599999999999994</v>
      </c>
      <c r="E8" s="95"/>
      <c r="F8" s="96">
        <v>9.4</v>
      </c>
      <c r="G8" s="96">
        <v>90.6</v>
      </c>
      <c r="H8" s="96"/>
      <c r="I8" s="96">
        <v>48.8</v>
      </c>
      <c r="J8" s="96">
        <v>46.3</v>
      </c>
      <c r="K8" s="97"/>
      <c r="L8" s="96">
        <v>64</v>
      </c>
      <c r="M8" s="96">
        <v>85.2</v>
      </c>
      <c r="N8" s="72"/>
      <c r="O8" s="157">
        <f>IF($B8&lt;10,SQRT((10/10)*(1/$D8)),IF($B8&gt;1000,SQRT((10/1000)*(1/$D8)),SQRT((10/$B8)*(1/$D8))))</f>
        <v>3.4677099107353296E-2</v>
      </c>
      <c r="P8" s="158">
        <v>1</v>
      </c>
      <c r="Q8" s="158"/>
      <c r="R8" s="157">
        <f>IF($F8=0,SQRT(0.001*($I8/100)), IF($F8=100, SQRT(0.999*($I8/100)), SQRT(($F8/100)*($I8/100))))</f>
        <v>0.21417749648364087</v>
      </c>
      <c r="S8" s="157">
        <f>IF($G8=0,SQRT(0.001*($J8/100)), IF($G8=100, SQRT(0.999*($J8/100)),  SQRT(($G8/100)*($J8/100))))</f>
        <v>0.64767121288505625</v>
      </c>
      <c r="T8" s="157"/>
      <c r="U8" s="157">
        <f>$L8/100</f>
        <v>0.64</v>
      </c>
      <c r="V8" s="157">
        <f>$M8/100</f>
        <v>0.85199999999999998</v>
      </c>
      <c r="X8" s="159">
        <f>($O8*$R8*$U8)^(1/3)</f>
        <v>0.16813786319428459</v>
      </c>
      <c r="Y8" s="157">
        <f>($P8*$S8*$V8)^(1/3)</f>
        <v>0.82022196716456142</v>
      </c>
      <c r="Z8" s="157"/>
      <c r="AA8" s="157">
        <f>HARMEAN($X8,$Y8)</f>
        <v>0.2790691500563931</v>
      </c>
      <c r="AB8" s="157">
        <f>((($O8+$P8)/2)*(($R8+$S8)/2)*(($U8+$V8)/2))^(1/3)</f>
        <v>0.54992682259734538</v>
      </c>
      <c r="AD8" s="157">
        <f>1-AA8/AB8</f>
        <v>0.49253402709413463</v>
      </c>
      <c r="AE8" s="38"/>
      <c r="AF8" s="38"/>
      <c r="AG8" s="38"/>
    </row>
    <row r="9" spans="1:34" x14ac:dyDescent="0.2">
      <c r="A9" s="27" t="s">
        <v>11</v>
      </c>
      <c r="B9" s="95">
        <v>70</v>
      </c>
      <c r="C9" s="95"/>
      <c r="D9" s="98">
        <v>20</v>
      </c>
      <c r="E9" s="95"/>
      <c r="F9" s="98">
        <v>3.6211699164345403</v>
      </c>
      <c r="G9" s="98">
        <v>96.378830083565461</v>
      </c>
      <c r="H9" s="98"/>
      <c r="I9" s="98">
        <v>9.3356370527254509</v>
      </c>
      <c r="J9" s="98">
        <v>90.664362947274554</v>
      </c>
      <c r="K9" s="99"/>
      <c r="L9" s="98">
        <v>30.336569424897998</v>
      </c>
      <c r="M9" s="98">
        <v>69.663430575101998</v>
      </c>
      <c r="N9" s="73"/>
      <c r="O9" s="157">
        <f>IF($B9&lt;10,SQRT((10/10)*(1/$D9)),IF($B9&gt;1000,SQRT((10/1000)*(1/$D9)),SQRT((10/$B9)*(1/$D9))))</f>
        <v>8.4515425472851652E-2</v>
      </c>
      <c r="P9" s="158">
        <v>1</v>
      </c>
      <c r="Q9" s="158"/>
      <c r="R9" s="157">
        <f t="shared" ref="R9:R10" si="0">IF($F9=0,SQRT(0.001*($I9/100)), IF($F9=100, SQRT(0.999*($I9/100)), SQRT(($F9/100)*($I9/100))))</f>
        <v>5.8142865466092243E-2</v>
      </c>
      <c r="S9" s="157">
        <f t="shared" ref="S9:S10" si="1">IF($G9=0,SQRT(0.001*($J9/100)), IF($G9=100, SQRT(0.999*($J9/100)),  SQRT(($G9/100)*($J9/100))))</f>
        <v>0.9347793981004332</v>
      </c>
      <c r="T9" s="157"/>
      <c r="U9" s="157">
        <f t="shared" ref="U9:U10" si="2">$L9/100</f>
        <v>0.30336569424897997</v>
      </c>
      <c r="V9" s="157">
        <f t="shared" ref="V9:V10" si="3">$M9/100</f>
        <v>0.69663430575102003</v>
      </c>
      <c r="X9" s="159">
        <f t="shared" ref="X9:X10" si="4">($O9*$R9*$U9)^(1/3)</f>
        <v>0.11423511599909841</v>
      </c>
      <c r="Y9" s="157">
        <f t="shared" ref="Y9:Y10" si="5">($P9*$S9*$V9)^(1/3)</f>
        <v>0.8667715803252718</v>
      </c>
      <c r="Z9" s="157"/>
      <c r="AA9" s="157">
        <f>HARMEAN($X9,$Y9)</f>
        <v>0.20186559866343601</v>
      </c>
      <c r="AB9" s="157">
        <f t="shared" ref="AB9:AB10" si="6">((($O9+$P9)/2)*(($R9+$S9)/2)*(($U9+$V9)/2))^(1/3)</f>
        <v>0.51249189138601647</v>
      </c>
      <c r="AD9" s="157">
        <f>1-AA9/AB9</f>
        <v>0.60610967303795282</v>
      </c>
      <c r="AE9" s="38"/>
      <c r="AF9" s="38"/>
      <c r="AG9" s="38"/>
    </row>
    <row r="10" spans="1:34" x14ac:dyDescent="0.2">
      <c r="A10" s="27" t="s">
        <v>12</v>
      </c>
      <c r="B10" s="95">
        <v>11</v>
      </c>
      <c r="C10" s="95"/>
      <c r="D10" s="98">
        <v>8</v>
      </c>
      <c r="E10" s="95"/>
      <c r="F10" s="96">
        <v>8.6666666666666661</v>
      </c>
      <c r="G10" s="96">
        <v>91.333333333333329</v>
      </c>
      <c r="H10" s="96"/>
      <c r="I10" s="96">
        <v>25.5980271270037</v>
      </c>
      <c r="J10" s="96">
        <v>74.401972872996296</v>
      </c>
      <c r="K10" s="97"/>
      <c r="L10" s="96">
        <v>47.908302033415403</v>
      </c>
      <c r="M10" s="96">
        <v>52.091697966584597</v>
      </c>
      <c r="N10" s="72"/>
      <c r="O10" s="157">
        <f>IF($B10&lt;10,SQRT((10/10)*(1/$D10)),IF($B10&gt;1000,SQRT((10/1000)*(1/$D10)),SQRT((10/$B10)*(1/$D10))))</f>
        <v>0.33709993123162102</v>
      </c>
      <c r="P10" s="158">
        <v>1</v>
      </c>
      <c r="Q10" s="158"/>
      <c r="R10" s="157">
        <f t="shared" si="0"/>
        <v>0.14894615417459828</v>
      </c>
      <c r="S10" s="157">
        <f t="shared" si="1"/>
        <v>0.82434096034753701</v>
      </c>
      <c r="T10" s="157"/>
      <c r="U10" s="157">
        <f t="shared" si="2"/>
        <v>0.47908302033415401</v>
      </c>
      <c r="V10" s="157">
        <f t="shared" si="3"/>
        <v>0.52091697966584594</v>
      </c>
      <c r="X10" s="159">
        <f t="shared" si="4"/>
        <v>0.2886686219392306</v>
      </c>
      <c r="Y10" s="157">
        <f t="shared" si="5"/>
        <v>0.75444073799155464</v>
      </c>
      <c r="Z10" s="157"/>
      <c r="AA10" s="157">
        <f>HARMEAN($X10,$Y10)</f>
        <v>0.41756574437274546</v>
      </c>
      <c r="AB10" s="157">
        <f t="shared" si="6"/>
        <v>0.5458897642008449</v>
      </c>
      <c r="AD10" s="157">
        <f>1-AA10/AB10</f>
        <v>0.23507313791816431</v>
      </c>
      <c r="AE10" s="38"/>
      <c r="AF10" s="38"/>
      <c r="AG10" s="38"/>
    </row>
    <row r="13" spans="1:34" x14ac:dyDescent="0.2">
      <c r="A13" s="62" t="s">
        <v>44</v>
      </c>
    </row>
    <row r="14" spans="1:34" x14ac:dyDescent="0.2">
      <c r="A14" s="62" t="s">
        <v>45</v>
      </c>
    </row>
    <row r="15" spans="1:34" x14ac:dyDescent="0.2">
      <c r="A15" s="216" t="s">
        <v>104</v>
      </c>
    </row>
    <row r="16" spans="1:34" x14ac:dyDescent="0.2">
      <c r="O16" s="153"/>
    </row>
  </sheetData>
  <mergeCells count="10">
    <mergeCell ref="O5:V5"/>
    <mergeCell ref="X5:AB5"/>
    <mergeCell ref="AF5:AF6"/>
    <mergeCell ref="F6:G6"/>
    <mergeCell ref="I6:J6"/>
    <mergeCell ref="L6:M6"/>
    <mergeCell ref="O6:P6"/>
    <mergeCell ref="R6:S6"/>
    <mergeCell ref="U6:V6"/>
    <mergeCell ref="X6:Y6"/>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workbookViewId="0">
      <pane xSplit="2" ySplit="8" topLeftCell="C9" activePane="bottomRight" state="frozenSplit"/>
      <selection pane="topRight" activeCell="C1" sqref="C1"/>
      <selection pane="bottomLeft" activeCell="A9" sqref="A9"/>
      <selection pane="bottomRight" activeCell="A3" sqref="A3"/>
    </sheetView>
  </sheetViews>
  <sheetFormatPr defaultColWidth="9.140625" defaultRowHeight="15" x14ac:dyDescent="0.2"/>
  <cols>
    <col min="1" max="1" width="9.140625" style="5"/>
    <col min="2" max="2" width="15.42578125" style="5" customWidth="1"/>
    <col min="3" max="3" width="14.140625" style="6" customWidth="1"/>
    <col min="4" max="4" width="15.42578125" style="6" customWidth="1"/>
    <col min="5" max="5" width="14.5703125" style="6" customWidth="1"/>
    <col min="6" max="6" width="13.85546875" style="5" customWidth="1"/>
    <col min="7" max="7" width="18" style="6" customWidth="1"/>
    <col min="8" max="8" width="11.5703125" style="6" customWidth="1"/>
    <col min="9" max="9" width="12.5703125" style="6" customWidth="1"/>
    <col min="10" max="10" width="15.42578125" style="6" customWidth="1"/>
    <col min="11" max="11" width="13.140625" style="5" customWidth="1"/>
    <col min="12" max="16384" width="9.140625" style="5"/>
  </cols>
  <sheetData>
    <row r="1" spans="1:14" s="13" customFormat="1" ht="37.5" customHeight="1" x14ac:dyDescent="0.4">
      <c r="A1" s="12" t="s">
        <v>46</v>
      </c>
      <c r="B1" s="14"/>
      <c r="C1" s="14"/>
      <c r="E1" s="14"/>
      <c r="F1" s="14"/>
      <c r="G1" s="14"/>
      <c r="H1" s="14"/>
      <c r="I1" s="14"/>
    </row>
    <row r="3" spans="1:14" s="9" customFormat="1" ht="31.5" customHeight="1" x14ac:dyDescent="0.3">
      <c r="A3" s="15" t="s">
        <v>4</v>
      </c>
      <c r="B3" s="17"/>
      <c r="C3" s="17"/>
      <c r="D3" s="17"/>
      <c r="E3" s="17"/>
      <c r="F3" s="16"/>
      <c r="G3" s="127" t="s">
        <v>86</v>
      </c>
      <c r="H3" s="53"/>
      <c r="I3" s="53"/>
      <c r="J3" s="53"/>
      <c r="K3" s="53"/>
    </row>
    <row r="4" spans="1:14" s="31" customFormat="1" ht="18.75" customHeight="1" x14ac:dyDescent="0.2">
      <c r="A4" s="28"/>
      <c r="B4" s="28"/>
      <c r="C4" s="223" t="s">
        <v>9</v>
      </c>
      <c r="D4" s="223" t="s">
        <v>90</v>
      </c>
      <c r="E4" s="223" t="s">
        <v>102</v>
      </c>
      <c r="F4" s="252" t="s">
        <v>97</v>
      </c>
      <c r="G4" s="54"/>
      <c r="H4" s="55"/>
      <c r="I4" s="55"/>
      <c r="J4" s="55"/>
      <c r="K4" s="55"/>
    </row>
    <row r="5" spans="1:14" s="31" customFormat="1" ht="18.75" customHeight="1" x14ac:dyDescent="0.2">
      <c r="A5" s="28"/>
      <c r="B5" s="28"/>
      <c r="C5" s="223"/>
      <c r="D5" s="223"/>
      <c r="E5" s="223"/>
      <c r="F5" s="252"/>
      <c r="G5" s="225" t="s">
        <v>5</v>
      </c>
      <c r="H5" s="221" t="s">
        <v>6</v>
      </c>
      <c r="I5" s="221" t="s">
        <v>7</v>
      </c>
      <c r="J5" s="221" t="s">
        <v>8</v>
      </c>
      <c r="K5" s="221" t="s">
        <v>88</v>
      </c>
    </row>
    <row r="6" spans="1:14" s="31" customFormat="1" ht="18.600000000000001" customHeight="1" x14ac:dyDescent="0.2">
      <c r="A6" s="28"/>
      <c r="B6" s="28"/>
      <c r="C6" s="223"/>
      <c r="D6" s="223"/>
      <c r="E6" s="223"/>
      <c r="F6" s="252"/>
      <c r="G6" s="225"/>
      <c r="H6" s="221"/>
      <c r="I6" s="221"/>
      <c r="J6" s="221"/>
      <c r="K6" s="221"/>
    </row>
    <row r="7" spans="1:14" s="31" customFormat="1" ht="13.5" customHeight="1" x14ac:dyDescent="0.2">
      <c r="A7" s="28"/>
      <c r="B7" s="28"/>
      <c r="C7" s="223"/>
      <c r="D7" s="223"/>
      <c r="E7" s="223"/>
      <c r="F7" s="252"/>
      <c r="G7" s="225"/>
      <c r="H7" s="221"/>
      <c r="I7" s="221"/>
      <c r="J7" s="221"/>
      <c r="K7" s="221"/>
    </row>
    <row r="8" spans="1:14" s="132" customFormat="1" ht="24" customHeight="1" x14ac:dyDescent="0.2">
      <c r="A8" s="28"/>
      <c r="B8" s="93"/>
      <c r="C8" s="223"/>
      <c r="D8" s="224"/>
      <c r="E8" s="224"/>
      <c r="F8" s="253"/>
      <c r="G8" s="226"/>
      <c r="H8" s="222"/>
      <c r="I8" s="222"/>
      <c r="J8" s="222"/>
      <c r="K8" s="222" t="s">
        <v>47</v>
      </c>
      <c r="N8" s="133"/>
    </row>
    <row r="9" spans="1:14" s="31" customFormat="1" ht="12.75" x14ac:dyDescent="0.2">
      <c r="A9" s="28"/>
      <c r="B9" s="28"/>
      <c r="C9" s="32"/>
      <c r="D9" s="34"/>
      <c r="E9" s="33"/>
      <c r="F9" s="32"/>
      <c r="G9" s="58"/>
      <c r="H9" s="55"/>
      <c r="I9" s="55"/>
      <c r="J9" s="55"/>
      <c r="K9" s="59"/>
    </row>
    <row r="10" spans="1:14" s="36" customFormat="1" ht="12.75" x14ac:dyDescent="0.2">
      <c r="A10" s="28" t="s">
        <v>10</v>
      </c>
      <c r="B10" s="194" t="s">
        <v>41</v>
      </c>
      <c r="C10" s="201">
        <v>68</v>
      </c>
      <c r="D10" s="201">
        <v>14</v>
      </c>
      <c r="E10" s="201">
        <v>8.4</v>
      </c>
      <c r="F10" s="202">
        <v>7770</v>
      </c>
      <c r="G10" s="203">
        <f>(IF($C10&gt;87.5,87.5,IF($C10&gt;22.5,$C10,IF($C10&lt;22.5,22.5)))-22.5)/(87.5-22.5)</f>
        <v>0.7</v>
      </c>
      <c r="H10" s="204">
        <f>((IF($E10&gt;15,15,$E10)/15)+(IF($D10&gt;18,18,$D10)/18))/2</f>
        <v>0.66888888888888887</v>
      </c>
      <c r="I10" s="204">
        <f>(LN(IF($F10&gt;75000,75000, IF($F10&gt;100,$F10, IF($F10&lt;100,100))))-LN(100))/(LN(75000)-LN(100))</f>
        <v>0.65752373449280566</v>
      </c>
      <c r="J10" s="204">
        <f>($G10*$H10*$I10)^(1/3)</f>
        <v>0.6752342847475421</v>
      </c>
      <c r="K10" s="251">
        <f>J10/J11</f>
        <v>0.92018557692120917</v>
      </c>
    </row>
    <row r="11" spans="1:14" s="36" customFormat="1" ht="12.75" x14ac:dyDescent="0.2">
      <c r="A11" s="28" t="s">
        <v>10</v>
      </c>
      <c r="B11" s="195" t="s">
        <v>42</v>
      </c>
      <c r="C11" s="196">
        <v>63.2</v>
      </c>
      <c r="D11" s="197">
        <v>16.2</v>
      </c>
      <c r="E11" s="197">
        <v>10.7</v>
      </c>
      <c r="F11" s="198">
        <v>10070</v>
      </c>
      <c r="G11" s="199">
        <f>(IF($C11&gt;82.5,82.5,IF($C11&gt;17.5,$C11,IF($C11&lt;17.5,17.5)))-17.5)/(82.5-17.5)</f>
        <v>0.70307692307692315</v>
      </c>
      <c r="H11" s="200">
        <f>((IF($E11&gt;15,15,$E11)/15)+(IF($D11&gt;18,18,$D11)/18))/2</f>
        <v>0.80666666666666664</v>
      </c>
      <c r="I11" s="200">
        <f>(LN(IF($F11&gt;75000,75000, IF($F11&gt;100,$F11, IF($F11&lt;100,100))))-LN(100))/(LN(75000)-LN(100))</f>
        <v>0.6966910570074778</v>
      </c>
      <c r="J11" s="200">
        <f>($G11*$H11*$I11)^(1/3)</f>
        <v>0.73380229127994578</v>
      </c>
      <c r="K11" s="251"/>
    </row>
  </sheetData>
  <mergeCells count="10">
    <mergeCell ref="K10:K11"/>
    <mergeCell ref="C4:C8"/>
    <mergeCell ref="F4:F8"/>
    <mergeCell ref="D4:D8"/>
    <mergeCell ref="E4:E8"/>
    <mergeCell ref="K5:K8"/>
    <mergeCell ref="J5:J8"/>
    <mergeCell ref="G5:G8"/>
    <mergeCell ref="H5:H8"/>
    <mergeCell ref="I5:I8"/>
  </mergeCells>
  <printOptions horizontalCentered="1" verticalCentered="1"/>
  <pageMargins left="0" right="0" top="0" bottom="1" header="0.5" footer="0.5"/>
  <pageSetup scale="60" orientation="portrait" r:id="rId1"/>
  <headerFooter alignWithMargins="0">
    <oddFooter>&amp;L&amp;"MS Sans Serif,Bold"MONITORING HUMAN DEVELOPMENT: ENLARGING PEOPLE'S CHOICES...&amp;CPage &amp;P&amp;R28 March: 5:45pm</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16983-889E-42BE-9C98-BDA17D679734}">
  <sheetPr>
    <pageSetUpPr autoPageBreaks="0"/>
  </sheetPr>
  <dimension ref="A1:M17"/>
  <sheetViews>
    <sheetView zoomScaleNormal="100" workbookViewId="0">
      <pane xSplit="1" ySplit="7" topLeftCell="B8" activePane="bottomRight" state="frozenSplit"/>
      <selection pane="topRight" activeCell="B1" sqref="B1"/>
      <selection pane="bottomLeft" activeCell="A5" sqref="A5"/>
      <selection pane="bottomRight" activeCell="A3" sqref="A3"/>
    </sheetView>
  </sheetViews>
  <sheetFormatPr defaultColWidth="9.140625" defaultRowHeight="12" x14ac:dyDescent="0.2"/>
  <cols>
    <col min="1" max="1" width="12.5703125" style="79" customWidth="1"/>
    <col min="2" max="2" width="20.5703125" style="79" customWidth="1"/>
    <col min="3" max="3" width="15.5703125" style="79" customWidth="1"/>
    <col min="4" max="4" width="12.5703125" style="89" customWidth="1"/>
    <col min="5" max="5" width="11" style="89" customWidth="1"/>
    <col min="6" max="6" width="11.5703125" style="90" customWidth="1"/>
    <col min="7" max="7" width="11.5703125" style="79" customWidth="1"/>
    <col min="8" max="8" width="18.140625" style="79" bestFit="1" customWidth="1"/>
    <col min="9" max="11" width="18.140625" style="79" customWidth="1"/>
    <col min="12" max="12" width="9.42578125" style="79" customWidth="1"/>
    <col min="13" max="13" width="12.42578125" style="79" customWidth="1"/>
    <col min="14" max="14" width="10.5703125" style="79" customWidth="1"/>
    <col min="15" max="16384" width="9.140625" style="79"/>
  </cols>
  <sheetData>
    <row r="1" spans="1:13" s="21" customFormat="1" ht="23.25" x14ac:dyDescent="0.35">
      <c r="A1" s="18" t="s">
        <v>48</v>
      </c>
      <c r="B1" s="18"/>
      <c r="C1" s="18"/>
      <c r="D1" s="18"/>
      <c r="E1" s="18"/>
      <c r="F1" s="18"/>
      <c r="G1" s="18"/>
    </row>
    <row r="3" spans="1:13" s="173" customFormat="1" ht="51" customHeight="1" thickBot="1" x14ac:dyDescent="0.25">
      <c r="A3" s="167" t="s">
        <v>4</v>
      </c>
      <c r="B3" s="167"/>
      <c r="C3" s="167"/>
      <c r="D3" s="168"/>
      <c r="E3" s="168"/>
      <c r="F3" s="169"/>
      <c r="G3" s="170"/>
      <c r="H3" s="171" t="s">
        <v>49</v>
      </c>
      <c r="I3" s="171"/>
      <c r="J3" s="171"/>
      <c r="K3" s="171"/>
      <c r="L3" s="172"/>
      <c r="M3" s="172"/>
    </row>
    <row r="4" spans="1:13" s="75" customFormat="1" ht="18.75" x14ac:dyDescent="0.35">
      <c r="A4" s="74"/>
      <c r="B4" s="100" t="s">
        <v>50</v>
      </c>
      <c r="C4" s="100" t="s">
        <v>51</v>
      </c>
      <c r="D4" s="100" t="s">
        <v>52</v>
      </c>
      <c r="E4" s="101" t="s">
        <v>53</v>
      </c>
      <c r="F4" s="102" t="s">
        <v>54</v>
      </c>
      <c r="G4" s="102" t="s">
        <v>55</v>
      </c>
      <c r="H4" s="119" t="s">
        <v>56</v>
      </c>
      <c r="I4" s="119" t="s">
        <v>65</v>
      </c>
      <c r="J4" s="120" t="s">
        <v>66</v>
      </c>
      <c r="K4" s="120" t="s">
        <v>67</v>
      </c>
      <c r="L4" s="121" t="s">
        <v>57</v>
      </c>
      <c r="M4" s="121" t="s">
        <v>58</v>
      </c>
    </row>
    <row r="5" spans="1:13" x14ac:dyDescent="0.2">
      <c r="A5" s="76"/>
      <c r="B5" s="76"/>
      <c r="C5" s="77"/>
      <c r="D5" s="77"/>
      <c r="E5" s="78"/>
      <c r="F5" s="76"/>
      <c r="G5" s="76"/>
      <c r="H5" s="122"/>
      <c r="I5" s="122"/>
      <c r="J5" s="122"/>
      <c r="K5" s="122"/>
      <c r="L5" s="122"/>
      <c r="M5" s="122"/>
    </row>
    <row r="6" spans="1:13" s="82" customFormat="1" ht="36.75" thickBot="1" x14ac:dyDescent="0.25">
      <c r="A6" s="80"/>
      <c r="B6" s="80" t="s">
        <v>105</v>
      </c>
      <c r="C6" s="254" t="s">
        <v>59</v>
      </c>
      <c r="D6" s="255"/>
      <c r="E6" s="81" t="s">
        <v>60</v>
      </c>
      <c r="F6" s="256" t="s">
        <v>61</v>
      </c>
      <c r="G6" s="256"/>
      <c r="H6" s="123" t="s">
        <v>62</v>
      </c>
      <c r="I6" s="123" t="s">
        <v>64</v>
      </c>
      <c r="J6" s="123" t="s">
        <v>69</v>
      </c>
      <c r="K6" s="123" t="s">
        <v>68</v>
      </c>
      <c r="L6" s="257" t="s">
        <v>63</v>
      </c>
      <c r="M6" s="257"/>
    </row>
    <row r="7" spans="1:13" s="86" customFormat="1" ht="26.25" customHeight="1" x14ac:dyDescent="0.2">
      <c r="A7" s="83"/>
      <c r="B7" s="83"/>
      <c r="C7" s="84" t="s">
        <v>41</v>
      </c>
      <c r="D7" s="84" t="s">
        <v>42</v>
      </c>
      <c r="E7" s="85"/>
      <c r="F7" s="83" t="s">
        <v>41</v>
      </c>
      <c r="G7" s="83" t="s">
        <v>42</v>
      </c>
      <c r="H7" s="124"/>
      <c r="I7" s="124"/>
      <c r="J7" s="124"/>
      <c r="K7" s="124"/>
      <c r="L7" s="124" t="s">
        <v>41</v>
      </c>
      <c r="M7" s="124" t="s">
        <v>42</v>
      </c>
    </row>
    <row r="8" spans="1:13" s="82" customFormat="1" ht="26.25" customHeight="1" x14ac:dyDescent="0.2">
      <c r="A8" s="174"/>
      <c r="B8" s="174"/>
      <c r="C8" s="175"/>
      <c r="D8" s="175"/>
      <c r="E8" s="176"/>
      <c r="F8" s="174"/>
      <c r="G8" s="174"/>
      <c r="H8" s="177"/>
      <c r="I8" s="177"/>
      <c r="J8" s="177"/>
      <c r="K8" s="177"/>
      <c r="L8" s="177"/>
      <c r="M8" s="177"/>
    </row>
    <row r="9" spans="1:13" s="88" customFormat="1" ht="12.75" x14ac:dyDescent="0.2">
      <c r="A9" s="87" t="s">
        <v>10</v>
      </c>
      <c r="B9" s="103">
        <v>5470</v>
      </c>
      <c r="C9" s="104">
        <v>89379.603000000003</v>
      </c>
      <c r="D9" s="104">
        <v>86877.728000000003</v>
      </c>
      <c r="E9" s="214">
        <v>0.78800000000000003</v>
      </c>
      <c r="F9" s="214">
        <v>0.35499999999999998</v>
      </c>
      <c r="G9" s="214">
        <v>0.64500000000000002</v>
      </c>
      <c r="H9" s="125">
        <f>(E9*F9)/((E9*F9)+G9)</f>
        <v>0.30250665051798342</v>
      </c>
      <c r="I9" s="125">
        <f>1-H9</f>
        <v>0.69749334948201658</v>
      </c>
      <c r="J9" s="125">
        <f>C9/(C9+D9)</f>
        <v>0.50709722252630729</v>
      </c>
      <c r="K9" s="125">
        <f>1-J9</f>
        <v>0.49290277747369271</v>
      </c>
      <c r="L9" s="126">
        <f>B9*H9/J9</f>
        <v>3263.1047949538433</v>
      </c>
      <c r="M9" s="126">
        <f>B9*I9/K9</f>
        <v>7740.4486158941572</v>
      </c>
    </row>
    <row r="10" spans="1:13" s="88" customFormat="1" ht="12.75" x14ac:dyDescent="0.2">
      <c r="A10" s="87" t="s">
        <v>11</v>
      </c>
      <c r="B10" s="113">
        <v>7770</v>
      </c>
      <c r="C10" s="104">
        <v>35319.025000000001</v>
      </c>
      <c r="D10" s="104">
        <v>35188.383000000002</v>
      </c>
      <c r="E10" s="214">
        <v>0.84199999999999997</v>
      </c>
      <c r="F10" s="214">
        <v>0.31</v>
      </c>
      <c r="G10" s="214">
        <v>0.69</v>
      </c>
      <c r="H10" s="125">
        <f>(E10*F10)/((E10*F10)+G10)</f>
        <v>0.27446320792412354</v>
      </c>
      <c r="I10" s="125">
        <f>1-H10</f>
        <v>0.7255367920758764</v>
      </c>
      <c r="J10" s="125">
        <f>C10/(C10+D10)</f>
        <v>0.50092644165844247</v>
      </c>
      <c r="K10" s="125">
        <f>1-J10</f>
        <v>0.49907355834155753</v>
      </c>
      <c r="L10" s="126">
        <f>B10*H10/J10</f>
        <v>4257.2700265332423</v>
      </c>
      <c r="M10" s="126">
        <f>B10*I10/K10</f>
        <v>11295.771495414316</v>
      </c>
    </row>
    <row r="11" spans="1:13" s="88" customFormat="1" ht="12.75" x14ac:dyDescent="0.2">
      <c r="A11" s="87" t="s">
        <v>12</v>
      </c>
      <c r="B11" s="103">
        <v>2820</v>
      </c>
      <c r="C11" s="104">
        <v>2006.0930000000001</v>
      </c>
      <c r="D11" s="104">
        <v>1984.7570000000001</v>
      </c>
      <c r="E11" s="214">
        <v>0.58499999999999996</v>
      </c>
      <c r="F11" s="214">
        <v>0.47199999999999998</v>
      </c>
      <c r="G11" s="214">
        <v>0.52800000000000002</v>
      </c>
      <c r="H11" s="125">
        <f>(E11*F11)/((E11*F11)+G11)</f>
        <v>0.34338158483808384</v>
      </c>
      <c r="I11" s="125">
        <f>1-H11</f>
        <v>0.6566184151619161</v>
      </c>
      <c r="J11" s="125">
        <f>C11/(C11+D11)</f>
        <v>0.50267311474999055</v>
      </c>
      <c r="K11" s="125">
        <f>1-J11</f>
        <v>0.49732688525000945</v>
      </c>
      <c r="L11" s="126">
        <f>B11*H11/J11</f>
        <v>1926.3733046972443</v>
      </c>
      <c r="M11" s="126">
        <f>B11*I11/K11</f>
        <v>3723.2331202560263</v>
      </c>
    </row>
    <row r="12" spans="1:13" x14ac:dyDescent="0.2">
      <c r="C12" s="91"/>
    </row>
    <row r="13" spans="1:13" x14ac:dyDescent="0.2">
      <c r="C13" s="91"/>
    </row>
    <row r="16" spans="1:13" x14ac:dyDescent="0.2">
      <c r="C16" s="89"/>
      <c r="E16" s="90"/>
      <c r="F16" s="79"/>
    </row>
    <row r="17" spans="8:11" x14ac:dyDescent="0.2">
      <c r="H17" s="92"/>
      <c r="I17" s="92"/>
      <c r="J17" s="92"/>
      <c r="K17" s="92"/>
    </row>
  </sheetData>
  <mergeCells count="3">
    <mergeCell ref="C6:D6"/>
    <mergeCell ref="F6:G6"/>
    <mergeCell ref="L6:M6"/>
  </mergeCells>
  <pageMargins left="0.75" right="0.75" top="1" bottom="1" header="0.5" footer="0.5"/>
  <pageSetup orientation="portrait" r:id="rId1"/>
  <headerFooter alignWithMargins="0"/>
  <ignoredErrors>
    <ignoredError sqref="J9:J1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7"/>
  <sheetViews>
    <sheetView workbookViewId="0">
      <pane xSplit="1" ySplit="9" topLeftCell="B10" activePane="bottomRight" state="frozen"/>
      <selection pane="topRight" activeCell="B1" sqref="B1"/>
      <selection pane="bottomLeft" activeCell="A10" sqref="A10"/>
      <selection pane="bottomRight" activeCell="A3" sqref="A3"/>
    </sheetView>
  </sheetViews>
  <sheetFormatPr defaultRowHeight="12.75" x14ac:dyDescent="0.2"/>
  <cols>
    <col min="1" max="1" width="11.85546875" customWidth="1"/>
    <col min="2" max="2" width="14.42578125" customWidth="1"/>
    <col min="3" max="3" width="15.140625" customWidth="1"/>
    <col min="4" max="4" width="12.140625" customWidth="1"/>
    <col min="5" max="5" width="14.85546875" customWidth="1"/>
    <col min="6" max="6" width="24" customWidth="1"/>
    <col min="7" max="7" width="19.28515625" customWidth="1"/>
    <col min="8" max="8" width="0.7109375" customWidth="1"/>
    <col min="9" max="9" width="17" customWidth="1"/>
    <col min="10" max="10" width="13.140625" customWidth="1"/>
    <col min="11" max="11" width="13.5703125" customWidth="1"/>
    <col min="12" max="12" width="15" customWidth="1"/>
    <col min="13" max="13" width="0.85546875" customWidth="1"/>
    <col min="14" max="14" width="10" customWidth="1"/>
    <col min="15" max="15" width="3.140625" customWidth="1"/>
    <col min="16" max="16" width="10.140625" customWidth="1"/>
    <col min="17" max="17" width="2.28515625" customWidth="1"/>
    <col min="18" max="18" width="14.5703125" customWidth="1"/>
    <col min="19" max="19" width="15.5703125" customWidth="1"/>
    <col min="20" max="20" width="13.7109375" style="49" customWidth="1"/>
  </cols>
  <sheetData>
    <row r="1" spans="1:20" ht="30.6" customHeight="1" x14ac:dyDescent="0.35">
      <c r="A1" s="18" t="s">
        <v>70</v>
      </c>
    </row>
    <row r="2" spans="1:20" ht="22.5" customHeight="1" x14ac:dyDescent="0.2"/>
    <row r="3" spans="1:20" ht="21.6" customHeight="1" x14ac:dyDescent="0.3">
      <c r="A3" s="134" t="s">
        <v>4</v>
      </c>
      <c r="B3" s="110"/>
      <c r="C3" s="223" t="s">
        <v>76</v>
      </c>
      <c r="D3" s="223" t="s">
        <v>24</v>
      </c>
      <c r="E3" s="252" t="s">
        <v>17</v>
      </c>
      <c r="F3" s="270" t="s">
        <v>71</v>
      </c>
      <c r="G3" s="258" t="s">
        <v>75</v>
      </c>
      <c r="H3" s="3"/>
      <c r="I3" s="135" t="s">
        <v>86</v>
      </c>
      <c r="J3" s="105"/>
      <c r="K3" s="105"/>
      <c r="L3" s="105"/>
      <c r="M3" s="3"/>
      <c r="N3" s="135"/>
      <c r="O3" s="208"/>
      <c r="P3" s="105"/>
      <c r="Q3" s="105"/>
      <c r="R3" s="105"/>
      <c r="S3" s="105"/>
      <c r="T3" s="205"/>
    </row>
    <row r="4" spans="1:20" x14ac:dyDescent="0.2">
      <c r="A4" s="109"/>
      <c r="B4" s="30"/>
      <c r="C4" s="223"/>
      <c r="D4" s="223"/>
      <c r="E4" s="252"/>
      <c r="F4" s="270"/>
      <c r="G4" s="258"/>
      <c r="H4" s="3"/>
      <c r="I4" s="225" t="s">
        <v>5</v>
      </c>
      <c r="J4" s="221" t="s">
        <v>6</v>
      </c>
      <c r="K4" s="221" t="s">
        <v>7</v>
      </c>
      <c r="L4" s="221" t="s">
        <v>8</v>
      </c>
      <c r="M4" s="3"/>
      <c r="N4" s="221" t="s">
        <v>99</v>
      </c>
      <c r="O4" s="262" t="s">
        <v>31</v>
      </c>
      <c r="P4" s="221" t="s">
        <v>74</v>
      </c>
      <c r="Q4" s="262" t="s">
        <v>34</v>
      </c>
      <c r="R4" s="264" t="s">
        <v>98</v>
      </c>
      <c r="S4" s="266" t="s">
        <v>89</v>
      </c>
      <c r="T4" s="260" t="s">
        <v>73</v>
      </c>
    </row>
    <row r="5" spans="1:20" ht="13.35" customHeight="1" x14ac:dyDescent="0.2">
      <c r="A5" s="109"/>
      <c r="B5" s="268" t="s">
        <v>21</v>
      </c>
      <c r="C5" s="223"/>
      <c r="D5" s="223"/>
      <c r="E5" s="252"/>
      <c r="F5" s="270"/>
      <c r="G5" s="258"/>
      <c r="H5" s="3"/>
      <c r="I5" s="225"/>
      <c r="J5" s="221"/>
      <c r="K5" s="221"/>
      <c r="L5" s="221"/>
      <c r="M5" s="3"/>
      <c r="N5" s="221"/>
      <c r="O5" s="262"/>
      <c r="P5" s="221"/>
      <c r="Q5" s="262"/>
      <c r="R5" s="264"/>
      <c r="S5" s="266"/>
      <c r="T5" s="260"/>
    </row>
    <row r="6" spans="1:20" x14ac:dyDescent="0.2">
      <c r="A6" s="109"/>
      <c r="B6" s="268"/>
      <c r="C6" s="223"/>
      <c r="D6" s="223"/>
      <c r="E6" s="252"/>
      <c r="F6" s="270"/>
      <c r="G6" s="258"/>
      <c r="H6" s="3"/>
      <c r="I6" s="225"/>
      <c r="J6" s="221"/>
      <c r="K6" s="221"/>
      <c r="L6" s="221"/>
      <c r="M6" s="3"/>
      <c r="N6" s="221"/>
      <c r="O6" s="262"/>
      <c r="P6" s="221"/>
      <c r="Q6" s="262"/>
      <c r="R6" s="264"/>
      <c r="S6" s="266"/>
      <c r="T6" s="260"/>
    </row>
    <row r="7" spans="1:20" ht="51" customHeight="1" x14ac:dyDescent="0.2">
      <c r="A7" s="30"/>
      <c r="B7" s="269"/>
      <c r="C7" s="224"/>
      <c r="D7" s="224"/>
      <c r="E7" s="253"/>
      <c r="F7" s="271"/>
      <c r="G7" s="259"/>
      <c r="H7" s="65"/>
      <c r="I7" s="226"/>
      <c r="J7" s="222"/>
      <c r="K7" s="222"/>
      <c r="L7" s="222"/>
      <c r="M7" s="65"/>
      <c r="N7" s="222"/>
      <c r="O7" s="263"/>
      <c r="P7" s="222"/>
      <c r="Q7" s="263"/>
      <c r="R7" s="265"/>
      <c r="S7" s="267"/>
      <c r="T7" s="261"/>
    </row>
    <row r="8" spans="1:20" x14ac:dyDescent="0.2">
      <c r="A8" s="42"/>
      <c r="B8" s="42" t="s">
        <v>25</v>
      </c>
      <c r="C8" s="42" t="s">
        <v>25</v>
      </c>
      <c r="D8" s="42" t="s">
        <v>25</v>
      </c>
      <c r="E8" s="181" t="s">
        <v>96</v>
      </c>
      <c r="F8" s="111" t="s">
        <v>72</v>
      </c>
      <c r="G8" s="112" t="s">
        <v>72</v>
      </c>
      <c r="H8" s="115"/>
      <c r="I8" s="116"/>
      <c r="J8" s="117"/>
      <c r="K8" s="117"/>
      <c r="L8" s="117"/>
      <c r="M8" s="115"/>
      <c r="N8" s="118"/>
      <c r="O8" s="118"/>
      <c r="P8" s="118"/>
      <c r="Q8" s="118"/>
      <c r="R8" s="118"/>
      <c r="S8" s="118"/>
      <c r="T8" s="206"/>
    </row>
    <row r="9" spans="1:20" x14ac:dyDescent="0.2">
      <c r="A9" s="29"/>
      <c r="B9" s="32"/>
      <c r="C9" s="33"/>
      <c r="D9" s="34"/>
      <c r="E9" s="32"/>
      <c r="F9" s="108"/>
      <c r="G9" s="63"/>
      <c r="I9" s="58"/>
      <c r="J9" s="55"/>
      <c r="K9" s="55"/>
      <c r="L9" s="55"/>
      <c r="N9" s="105"/>
      <c r="O9" s="105"/>
      <c r="P9" s="105"/>
      <c r="Q9" s="105"/>
      <c r="R9" s="105"/>
      <c r="S9" s="105"/>
      <c r="T9" s="205"/>
    </row>
    <row r="10" spans="1:20" x14ac:dyDescent="0.2">
      <c r="A10" s="29" t="s">
        <v>10</v>
      </c>
      <c r="B10" s="106">
        <v>68</v>
      </c>
      <c r="C10" s="107">
        <v>12.4</v>
      </c>
      <c r="D10" s="106">
        <v>14</v>
      </c>
      <c r="E10" s="113">
        <v>7770</v>
      </c>
      <c r="F10" s="213">
        <v>11.45</v>
      </c>
      <c r="G10" s="138">
        <v>50.3</v>
      </c>
      <c r="I10" s="156">
        <f>(IF($B10&gt;85,85,IF($B10&gt;20,$B10,IF($B10&lt;20,20)))-20)/(85-20)</f>
        <v>0.7384615384615385</v>
      </c>
      <c r="J10" s="155">
        <f>((IF($C10&gt;18,18,$C10)/18)+(IF($D10&gt;15,15,$D10)/15))/2</f>
        <v>0.81111111111111112</v>
      </c>
      <c r="K10" s="155">
        <f>(LN(IF($E10&gt;75000,75000, IF($E10&gt;100,$E10, IF($E10&lt;100,100))))-LN(100))/(LN(75000)-LN(100))</f>
        <v>0.65752373449280566</v>
      </c>
      <c r="L10" s="155">
        <f>($I10*$J10*$K10)^(1/3)</f>
        <v>0.73300435540682995</v>
      </c>
      <c r="N10" s="155">
        <f>(76.61- IF($F10&gt;76.61,76.61,IF($F10&gt;0,$F10,IF($F10&lt;0,0))))/76.61</f>
        <v>0.85054170473828483</v>
      </c>
      <c r="O10" s="155"/>
      <c r="P10" s="155">
        <f>(140.82- IF($G10&gt;140.82, 140.82,IF($G10&gt;0,$G10,IF($G10&lt;0,0))))/140.82</f>
        <v>0.64280641954267859</v>
      </c>
      <c r="Q10" s="155"/>
      <c r="R10" s="154">
        <f>(N10+P10)/2</f>
        <v>0.74667406214048171</v>
      </c>
      <c r="S10" s="154">
        <f>L10*R10</f>
        <v>0.54731533961828305</v>
      </c>
      <c r="T10" s="207">
        <f>((L10-S10)/L10)*100</f>
        <v>25.332593785951836</v>
      </c>
    </row>
    <row r="11" spans="1:20" x14ac:dyDescent="0.2">
      <c r="A11" s="29" t="s">
        <v>11</v>
      </c>
      <c r="B11" s="10">
        <v>48.8</v>
      </c>
      <c r="C11" s="11">
        <v>10.7</v>
      </c>
      <c r="D11" s="11">
        <v>16.2</v>
      </c>
      <c r="E11" s="114">
        <v>10070</v>
      </c>
      <c r="F11" s="213">
        <v>15.32</v>
      </c>
      <c r="G11" s="138">
        <v>21.4</v>
      </c>
      <c r="I11" s="156">
        <f t="shared" ref="I11:I13" si="0">(IF($B11&gt;85,85,IF($B11&gt;20,$B11,IF($B11&lt;20,20)))-20)/(85-20)</f>
        <v>0.44307692307692303</v>
      </c>
      <c r="J11" s="155">
        <f t="shared" ref="J11:J13" si="1">((IF($C11&gt;18,18,$C11)/18)+(IF($D11&gt;15,15,$D11)/15))/2</f>
        <v>0.79722222222222228</v>
      </c>
      <c r="K11" s="155">
        <f t="shared" ref="K11:K13" si="2">(LN(IF($E11&gt;75000,75000, IF($E11&gt;100,$E11, IF($E11&lt;100,100))))-LN(100))/(LN(75000)-LN(100))</f>
        <v>0.6966910570074778</v>
      </c>
      <c r="L11" s="155">
        <f t="shared" ref="L11:L13" si="3">($I11*$J11*$K11)^(1/3)</f>
        <v>0.62666136588053156</v>
      </c>
      <c r="N11" s="155">
        <f t="shared" ref="N11:N13" si="4">(76.61- IF($F11&gt;76.61,76.61,IF($F11&gt;0,$F11,IF($F11&lt;0,0))))/76.61</f>
        <v>0.80002610625244741</v>
      </c>
      <c r="O11" s="155"/>
      <c r="P11" s="155">
        <f t="shared" ref="P11:P13" si="5">( 140.82- IF($G11&gt;  140.82,  140.82,IF($G11&gt;0,$G11,IF($G11&lt;0,0))))/ 140.82</f>
        <v>0.84803294986507594</v>
      </c>
      <c r="Q11" s="155"/>
      <c r="R11" s="154">
        <f t="shared" ref="R11:R13" si="6">(N11+P11)/2</f>
        <v>0.82402952805876173</v>
      </c>
      <c r="S11" s="154">
        <f t="shared" ref="S11:S13" si="7">L11*R11</f>
        <v>0.51638746957919346</v>
      </c>
      <c r="T11" s="207">
        <f t="shared" ref="T11:T13" si="8">((L11-S11)/L11)*100</f>
        <v>17.597047194123824</v>
      </c>
    </row>
    <row r="12" spans="1:20" x14ac:dyDescent="0.2">
      <c r="A12" s="29" t="s">
        <v>12</v>
      </c>
      <c r="B12" s="10">
        <v>60.8</v>
      </c>
      <c r="C12" s="10">
        <v>6.5</v>
      </c>
      <c r="D12" s="11">
        <v>9</v>
      </c>
      <c r="E12" s="114">
        <v>1940</v>
      </c>
      <c r="F12" s="213">
        <v>4.76</v>
      </c>
      <c r="G12" s="138">
        <v>3.7</v>
      </c>
      <c r="I12" s="156">
        <f t="shared" si="0"/>
        <v>0.62769230769230766</v>
      </c>
      <c r="J12" s="155">
        <f t="shared" si="1"/>
        <v>0.48055555555555551</v>
      </c>
      <c r="K12" s="155">
        <f t="shared" si="2"/>
        <v>0.44792149173580076</v>
      </c>
      <c r="L12" s="155">
        <f t="shared" si="3"/>
        <v>0.51313397417351281</v>
      </c>
      <c r="N12" s="155">
        <f t="shared" si="4"/>
        <v>0.9378671191750424</v>
      </c>
      <c r="O12" s="155"/>
      <c r="P12" s="155">
        <f t="shared" si="5"/>
        <v>0.97372532310751325</v>
      </c>
      <c r="Q12" s="155"/>
      <c r="R12" s="154">
        <f t="shared" si="6"/>
        <v>0.95579622114127782</v>
      </c>
      <c r="S12" s="154">
        <f t="shared" si="7"/>
        <v>0.49045151345424959</v>
      </c>
      <c r="T12" s="207">
        <f t="shared" si="8"/>
        <v>4.4203778858722185</v>
      </c>
    </row>
    <row r="13" spans="1:20" x14ac:dyDescent="0.2">
      <c r="A13" s="29" t="s">
        <v>13</v>
      </c>
      <c r="B13" s="10">
        <v>49.4</v>
      </c>
      <c r="C13" s="10">
        <v>5.5</v>
      </c>
      <c r="D13" s="11">
        <v>10.1</v>
      </c>
      <c r="E13" s="114">
        <v>4567</v>
      </c>
      <c r="F13" s="213">
        <v>7.41</v>
      </c>
      <c r="G13" s="138">
        <v>32.4</v>
      </c>
      <c r="I13" s="156">
        <f t="shared" si="0"/>
        <v>0.4523076923076923</v>
      </c>
      <c r="J13" s="155">
        <f t="shared" si="1"/>
        <v>0.48944444444444446</v>
      </c>
      <c r="K13" s="155">
        <f t="shared" si="2"/>
        <v>0.57725065992129154</v>
      </c>
      <c r="L13" s="155">
        <f t="shared" si="3"/>
        <v>0.50369457310836296</v>
      </c>
      <c r="N13" s="155">
        <f t="shared" si="4"/>
        <v>0.9032763346821564</v>
      </c>
      <c r="O13" s="155"/>
      <c r="P13" s="155">
        <f t="shared" si="5"/>
        <v>0.76991904559011504</v>
      </c>
      <c r="Q13" s="155"/>
      <c r="R13" s="154">
        <f t="shared" si="6"/>
        <v>0.83659769013613572</v>
      </c>
      <c r="S13" s="154">
        <f t="shared" si="7"/>
        <v>0.42138971639656342</v>
      </c>
      <c r="T13" s="207">
        <f t="shared" si="8"/>
        <v>16.340230986386427</v>
      </c>
    </row>
    <row r="16" spans="1:20" x14ac:dyDescent="0.2">
      <c r="A16" s="209" t="s">
        <v>100</v>
      </c>
    </row>
    <row r="17" spans="1:1" x14ac:dyDescent="0.2">
      <c r="A17" s="209" t="s">
        <v>101</v>
      </c>
    </row>
  </sheetData>
  <mergeCells count="17">
    <mergeCell ref="C3:C7"/>
    <mergeCell ref="E3:E7"/>
    <mergeCell ref="B5:B7"/>
    <mergeCell ref="D3:D7"/>
    <mergeCell ref="F3:F7"/>
    <mergeCell ref="G3:G7"/>
    <mergeCell ref="I4:I7"/>
    <mergeCell ref="J4:J7"/>
    <mergeCell ref="K4:K7"/>
    <mergeCell ref="T4:T7"/>
    <mergeCell ref="O4:O7"/>
    <mergeCell ref="Q4:Q7"/>
    <mergeCell ref="L4:L7"/>
    <mergeCell ref="N4:N7"/>
    <mergeCell ref="P4:P7"/>
    <mergeCell ref="R4:R7"/>
    <mergeCell ref="S4:S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AD45DB714643E4A8A8C58D3ECEF2B52" ma:contentTypeVersion="12" ma:contentTypeDescription="Create a new document." ma:contentTypeScope="" ma:versionID="a1a462f54be4bdad5a8bb89b099bd06a">
  <xsd:schema xmlns:xsd="http://www.w3.org/2001/XMLSchema" xmlns:xs="http://www.w3.org/2001/XMLSchema" xmlns:p="http://schemas.microsoft.com/office/2006/metadata/properties" xmlns:ns2="b0611ad7-5071-45af-a141-b2a079deb018" xmlns:ns3="7f64e6aa-b736-4f26-84cc-faf427629e48" targetNamespace="http://schemas.microsoft.com/office/2006/metadata/properties" ma:root="true" ma:fieldsID="77c9820cf089b32ad95f269f5a97d6c0" ns2:_="" ns3:_="">
    <xsd:import namespace="b0611ad7-5071-45af-a141-b2a079deb018"/>
    <xsd:import namespace="7f64e6aa-b736-4f26-84cc-faf427629e4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611ad7-5071-45af-a141-b2a079deb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64e6aa-b736-4f26-84cc-faf427629e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95ED86-AB63-4F7A-869E-964F5B127C62}">
  <ds:schemaRefs>
    <ds:schemaRef ds:uri="http://schemas.microsoft.com/sharepoint/v3/contenttype/forms"/>
  </ds:schemaRefs>
</ds:datastoreItem>
</file>

<file path=customXml/itemProps2.xml><?xml version="1.0" encoding="utf-8"?>
<ds:datastoreItem xmlns:ds="http://schemas.openxmlformats.org/officeDocument/2006/customXml" ds:itemID="{C8890AB7-27A3-44B0-B833-47330B3F536E}">
  <ds:schemaRefs>
    <ds:schemaRef ds:uri="http://schemas.microsoft.com/office/2006/metadata/longProperties"/>
  </ds:schemaRefs>
</ds:datastoreItem>
</file>

<file path=customXml/itemProps3.xml><?xml version="1.0" encoding="utf-8"?>
<ds:datastoreItem xmlns:ds="http://schemas.openxmlformats.org/officeDocument/2006/customXml" ds:itemID="{35FC1403-0D25-4B21-8A49-52F0BE952A8B}">
  <ds:schemaRefs>
    <ds:schemaRef ds:uri="http://purl.org/dc/dcmitype/"/>
    <ds:schemaRef ds:uri="http://schemas.microsoft.com/office/2006/metadata/properties"/>
    <ds:schemaRef ds:uri="http://schemas.microsoft.com/office/infopath/2007/PartnerControls"/>
    <ds:schemaRef ds:uri="http://purl.org/dc/terms/"/>
    <ds:schemaRef ds:uri="http://schemas.microsoft.com/office/2006/documentManagement/types"/>
    <ds:schemaRef ds:uri="3843b343-c291-44c9-933b-b1f036142521"/>
    <ds:schemaRef ds:uri="http://purl.org/dc/elements/1.1/"/>
    <ds:schemaRef ds:uri="http://schemas.openxmlformats.org/package/2006/metadata/core-properties"/>
    <ds:schemaRef ds:uri="365c67c2-3790-4be4-b663-cfa88453b8e8"/>
    <ds:schemaRef ds:uri="http://www.w3.org/XML/1998/namespace"/>
  </ds:schemaRefs>
</ds:datastoreItem>
</file>

<file path=customXml/itemProps4.xml><?xml version="1.0" encoding="utf-8"?>
<ds:datastoreItem xmlns:ds="http://schemas.openxmlformats.org/officeDocument/2006/customXml" ds:itemID="{D5AF857C-511F-47C3-9945-7D79A9F15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611ad7-5071-45af-a141-b2a079deb018"/>
    <ds:schemaRef ds:uri="7f64e6aa-b736-4f26-84cc-faf427629e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vt:lpstr>
      <vt:lpstr>HDI</vt:lpstr>
      <vt:lpstr>IHDI</vt:lpstr>
      <vt:lpstr>GII</vt:lpstr>
      <vt:lpstr>GDI</vt:lpstr>
      <vt:lpstr>GDI- Estimating earned income</vt:lpstr>
      <vt:lpstr>PHDI</vt:lpstr>
      <vt:lpstr>GDI!ilfeexp1998</vt:lpstr>
      <vt:lpstr>IHDI!ilfeexp1998</vt:lpstr>
      <vt:lpstr>ilfeexp1998</vt:lpstr>
      <vt:lpstr>GDI!Print_Area</vt:lpstr>
      <vt:lpstr>HDI!Print_Area</vt:lpstr>
      <vt:lpstr>IHDI!Print_Area</vt:lpstr>
      <vt:lpstr>GDI!Print_Titles</vt:lpstr>
      <vt:lpstr>HDI!Print_Titles</vt:lpstr>
      <vt:lpstr>IHDI!Print_Titles</vt:lpstr>
    </vt:vector>
  </TitlesOfParts>
  <Manager/>
  <Company>UNDP/HDRO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Yanchun Zhang</cp:lastModifiedBy>
  <cp:revision/>
  <dcterms:created xsi:type="dcterms:W3CDTF">2000-09-11T00:39:55Z</dcterms:created>
  <dcterms:modified xsi:type="dcterms:W3CDTF">2024-03-11T19:16:41Z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Cecilia Calderon</vt:lpwstr>
  </property>
  <property fmtid="{D5CDD505-2E9C-101B-9397-08002B2CF9AE}" pid="3" name="SharedWithUsers">
    <vt:lpwstr>14;#Cecilia Calderon</vt:lpwstr>
  </property>
  <property fmtid="{D5CDD505-2E9C-101B-9397-08002B2CF9AE}" pid="4" name="ContentTypeId">
    <vt:lpwstr>0x01010078D5414CEA58F94F9B10FB3F92F0A6C2</vt:lpwstr>
  </property>
</Properties>
</file>